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showHorizontalScroll="0" showVerticalScroll="0" xWindow="0" yWindow="0" windowWidth="24000" windowHeight="9435"/>
  </bookViews>
  <sheets>
    <sheet name="CREDITOS NUEVOS Y LQ-3 CAT 37%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E12" i="2"/>
  <c r="E11" i="2"/>
  <c r="E10" i="2"/>
  <c r="J13" i="2" l="1"/>
  <c r="D13" i="2"/>
  <c r="C13" i="2"/>
  <c r="J12" i="2"/>
  <c r="D12" i="2"/>
  <c r="C12" i="2"/>
  <c r="J11" i="2"/>
  <c r="D11" i="2"/>
  <c r="C11" i="2"/>
  <c r="J10" i="2"/>
  <c r="D10" i="2"/>
  <c r="C10" i="2"/>
  <c r="D7" i="2"/>
  <c r="AK5" i="2"/>
  <c r="AI5" i="2"/>
  <c r="G13" i="2" s="1"/>
  <c r="AK4" i="2"/>
  <c r="AI4" i="2"/>
  <c r="G12" i="2" s="1"/>
  <c r="AK3" i="2"/>
  <c r="AI3" i="2"/>
  <c r="AJ3" i="2" s="1"/>
  <c r="AK2" i="2"/>
  <c r="AI2" i="2"/>
  <c r="G10" i="2" s="1"/>
  <c r="H12" i="2" l="1"/>
  <c r="F12" i="2"/>
  <c r="M12" i="2" s="1"/>
  <c r="H13" i="2"/>
  <c r="F13" i="2"/>
  <c r="M13" i="2" s="1"/>
  <c r="F10" i="2"/>
  <c r="M10" i="2" s="1"/>
  <c r="H10" i="2"/>
  <c r="AJ5" i="2"/>
  <c r="AJ4" i="2"/>
  <c r="AJ2" i="2"/>
  <c r="G11" i="2"/>
  <c r="H11" i="2" l="1"/>
  <c r="F11" i="2"/>
  <c r="M11" i="2" s="1"/>
  <c r="K12" i="2"/>
  <c r="L12" i="2" s="1"/>
  <c r="I12" i="2"/>
  <c r="K10" i="2"/>
  <c r="L10" i="2" s="1"/>
  <c r="I10" i="2"/>
  <c r="K13" i="2"/>
  <c r="L13" i="2" s="1"/>
  <c r="I13" i="2"/>
  <c r="K11" i="2" l="1"/>
  <c r="L11" i="2" s="1"/>
  <c r="I11" i="2"/>
</calcChain>
</file>

<file path=xl/sharedStrings.xml><?xml version="1.0" encoding="utf-8"?>
<sst xmlns="http://schemas.openxmlformats.org/spreadsheetml/2006/main" count="27" uniqueCount="27">
  <si>
    <t xml:space="preserve">Dependencia: </t>
  </si>
  <si>
    <t>Frecuencia:</t>
  </si>
  <si>
    <t>Mensual</t>
  </si>
  <si>
    <t>Plazo</t>
  </si>
  <si>
    <t>Prestamo</t>
  </si>
  <si>
    <t>Descuento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</si>
  <si>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</si>
  <si>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</si>
  <si>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</si>
  <si>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</si>
  <si>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</si>
  <si>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</si>
  <si>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</si>
  <si>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MONTO</t>
  </si>
  <si>
    <t>PLAZO</t>
  </si>
  <si>
    <t>DESCUENTO</t>
  </si>
  <si>
    <t>TASA</t>
  </si>
  <si>
    <t>TASA SIN IVA</t>
  </si>
  <si>
    <t>*Las tasas globales e insolutas estan en terminos mensuales e incluyen el IVA.</t>
  </si>
  <si>
    <t>Tasa C/IVA</t>
  </si>
  <si>
    <t>Tasa S/IVA</t>
  </si>
  <si>
    <t>PAGARE</t>
  </si>
  <si>
    <t>Monto</t>
  </si>
  <si>
    <t>IMSS/CREDIAPOYO</t>
  </si>
  <si>
    <t>CAT IVA</t>
  </si>
  <si>
    <t>CAT CON IVA</t>
  </si>
  <si>
    <t>Condiciones:
-18 a 54 meses, monto mínimo de 5,000 hasta 300,000.
-Aplica para solicitudes de PLEY y JUBILADOS.
-Solo aplica para casos donde el trámite no se pueda ingresar por MAS NOMINA y se necesita justificar con evidencia concreta.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</si>
</sst>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[$-80A]General"/>
    <numFmt numFmtId="165" formatCode="0.000%"/>
    <numFmt numFmtId="166" formatCode="0.0"/>
    <numFmt numFmtId="169" formatCode="0.00000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</font>
    <font>
      <b/>
      <sz val="6.5"/>
      <color theme="1"/>
      <name val="Calibri"/>
      <family val="2"/>
      <scheme val="minor"/>
    </font>
    <font>
      <sz val="11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39">
    <xf numFmtId="0" fontId="0" fillId="0" borderId="0" xfId="0"/>
    <xf numFmtId="0" fontId="4" fillId="4" borderId="1" xfId="0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0" fillId="4" borderId="0" xfId="0" applyFont="1" applyFill="1" applyProtection="1">
      <protection hidden="1"/>
    </xf>
    <xf numFmtId="10" fontId="0" fillId="4" borderId="0" xfId="0" applyNumberFormat="1" applyFont="1" applyFill="1" applyProtection="1"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44" fontId="0" fillId="2" borderId="0" xfId="0" applyNumberFormat="1" applyFill="1" applyAlignment="1" applyProtection="1">
      <alignment horizontal="center"/>
      <protection hidden="1"/>
    </xf>
    <xf numFmtId="10" fontId="0" fillId="2" borderId="0" xfId="0" applyNumberForma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44" fontId="5" fillId="0" borderId="0" xfId="0" applyNumberFormat="1" applyFont="1" applyProtection="1">
      <protection locked="0"/>
    </xf>
    <xf numFmtId="0" fontId="6" fillId="3" borderId="0" xfId="0" applyFont="1" applyFill="1" applyProtection="1">
      <protection hidden="1"/>
    </xf>
    <xf numFmtId="0" fontId="7" fillId="3" borderId="0" xfId="0" applyFont="1" applyFill="1" applyProtection="1">
      <protection hidden="1"/>
    </xf>
    <xf numFmtId="0" fontId="7" fillId="0" borderId="0" xfId="0" applyFont="1" applyProtection="1">
      <protection hidden="1"/>
    </xf>
    <xf numFmtId="8" fontId="0" fillId="4" borderId="0" xfId="0" applyNumberFormat="1" applyFont="1" applyFill="1" applyProtection="1">
      <protection hidden="1"/>
    </xf>
    <xf numFmtId="8" fontId="0" fillId="0" borderId="0" xfId="0" applyNumberFormat="1" applyFont="1" applyProtection="1">
      <protection hidden="1"/>
    </xf>
    <xf numFmtId="44" fontId="0" fillId="2" borderId="0" xfId="0" applyNumberFormat="1" applyFill="1" applyAlignment="1" applyProtection="1">
      <alignment horizontal="center"/>
    </xf>
    <xf numFmtId="44" fontId="0" fillId="4" borderId="0" xfId="0" applyNumberFormat="1" applyFont="1" applyFill="1" applyProtection="1">
      <protection hidden="1"/>
    </xf>
    <xf numFmtId="0" fontId="0" fillId="6" borderId="0" xfId="0" applyFill="1" applyProtection="1">
      <protection hidden="1"/>
    </xf>
    <xf numFmtId="0" fontId="8" fillId="6" borderId="0" xfId="0" applyFont="1" applyFill="1" applyProtection="1"/>
    <xf numFmtId="44" fontId="0" fillId="6" borderId="0" xfId="0" applyNumberFormat="1" applyFill="1" applyProtection="1">
      <protection hidden="1"/>
    </xf>
    <xf numFmtId="44" fontId="0" fillId="4" borderId="0" xfId="0" applyNumberFormat="1" applyFill="1" applyProtection="1">
      <protection hidden="1"/>
    </xf>
    <xf numFmtId="44" fontId="0" fillId="0" borderId="0" xfId="0" applyNumberFormat="1" applyFont="1" applyProtection="1">
      <protection hidden="1"/>
    </xf>
    <xf numFmtId="8" fontId="0" fillId="4" borderId="0" xfId="0" applyNumberFormat="1" applyFill="1" applyProtection="1">
      <protection hidden="1"/>
    </xf>
    <xf numFmtId="44" fontId="0" fillId="4" borderId="0" xfId="0" applyNumberFormat="1" applyFont="1" applyFill="1" applyBorder="1" applyProtection="1">
      <protection hidden="1"/>
    </xf>
    <xf numFmtId="44" fontId="11" fillId="0" borderId="0" xfId="0" applyNumberFormat="1" applyFont="1" applyBorder="1" applyAlignment="1">
      <alignment horizontal="center"/>
    </xf>
    <xf numFmtId="10" fontId="0" fillId="4" borderId="0" xfId="0" applyNumberFormat="1" applyFont="1" applyFill="1" applyBorder="1" applyProtection="1">
      <protection hidden="1"/>
    </xf>
    <xf numFmtId="165" fontId="0" fillId="4" borderId="0" xfId="0" applyNumberFormat="1" applyFont="1" applyFill="1" applyBorder="1" applyProtection="1">
      <protection hidden="1"/>
    </xf>
    <xf numFmtId="0" fontId="0" fillId="4" borderId="0" xfId="0" applyFont="1" applyFill="1" applyBorder="1" applyProtection="1">
      <protection hidden="1"/>
    </xf>
    <xf numFmtId="44" fontId="9" fillId="0" borderId="0" xfId="0" applyNumberFormat="1" applyFont="1" applyBorder="1"/>
    <xf numFmtId="0" fontId="1" fillId="6" borderId="0" xfId="0" applyFont="1" applyFill="1" applyAlignment="1" applyProtection="1">
      <alignment horizontal="center"/>
      <protection hidden="1"/>
    </xf>
    <xf numFmtId="166" fontId="10" fillId="4" borderId="0" xfId="0" applyNumberFormat="1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1" fillId="6" borderId="2" xfId="0" applyFont="1" applyFill="1" applyBorder="1" applyAlignment="1" applyProtection="1">
      <alignment horizontal="center"/>
      <protection hidden="1"/>
    </xf>
    <xf numFmtId="169" fontId="0" fillId="4" borderId="0" xfId="0" applyNumberFormat="1" applyFont="1" applyFill="1" applyBorder="1" applyProtection="1">
      <protection hidden="1"/>
    </xf>
    <xf numFmtId="9" fontId="0" fillId="4" borderId="0" xfId="0" applyNumberFormat="1" applyFill="1" applyProtection="1">
      <protection hidden="1"/>
    </xf>
    <xf numFmtId="9" fontId="0" fillId="2" borderId="0" xfId="0" applyNumberFormat="1" applyFill="1" applyAlignment="1" applyProtection="1">
      <alignment horizontal="center"/>
      <protection hidden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showGridLines="0" tabSelected="1" topLeftCell="B1" zoomScale="140" zoomScaleNormal="140" workbookViewId="0">
      <selection activeCell="F5" sqref="F5"/>
    </sheetView>
  </sheetViews>
  <sheetFormatPr baseColWidth="10" defaultRowHeight="15" x14ac:dyDescent="0.25"/>
  <cols>
    <col min="1" max="1" width="3.140625" style="14" hidden="1" customWidth="1"/>
    <col min="2" max="2" width="2.42578125" style="9" customWidth="1"/>
    <col min="3" max="3" width="12.5703125" style="9" bestFit="1" customWidth="1"/>
    <col min="4" max="4" width="11.42578125" style="9"/>
    <col min="5" max="5" width="14.140625" style="9" bestFit="1" customWidth="1"/>
    <col min="6" max="6" width="16.42578125" style="9" customWidth="1"/>
    <col min="7" max="7" width="13" style="9" customWidth="1"/>
    <col min="8" max="8" width="12.7109375" style="9" bestFit="1" customWidth="1"/>
    <col min="9" max="9" width="14.140625" style="9" bestFit="1" customWidth="1"/>
    <col min="10" max="10" width="14.42578125" style="9" customWidth="1"/>
    <col min="11" max="13" width="15" style="9" customWidth="1"/>
    <col min="14" max="14" width="11.85546875" style="9" bestFit="1" customWidth="1"/>
    <col min="15" max="31" width="11.42578125" style="9"/>
    <col min="32" max="32" width="6.7109375" style="10" bestFit="1" customWidth="1"/>
    <col min="33" max="33" width="13.28515625" style="16" bestFit="1" customWidth="1"/>
    <col min="34" max="34" width="13.140625" style="23" bestFit="1" customWidth="1"/>
    <col min="35" max="35" width="6.28515625" style="10" bestFit="1" customWidth="1"/>
    <col min="36" max="36" width="12.5703125" style="10" bestFit="1" customWidth="1"/>
    <col min="37" max="37" width="14.28515625" style="10" bestFit="1" customWidth="1"/>
    <col min="38" max="16384" width="11.42578125" style="9"/>
  </cols>
  <sheetData>
    <row r="1" spans="1:38" s="2" customFormat="1" ht="14.45" customHeight="1" x14ac:dyDescent="0.25">
      <c r="A1" s="13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AC1" s="3"/>
      <c r="AD1" s="3"/>
      <c r="AE1" s="3"/>
      <c r="AF1" s="3" t="s">
        <v>14</v>
      </c>
      <c r="AG1" s="15" t="s">
        <v>13</v>
      </c>
      <c r="AH1" s="18" t="s">
        <v>15</v>
      </c>
      <c r="AI1" s="3" t="s">
        <v>16</v>
      </c>
      <c r="AJ1" s="3" t="s">
        <v>17</v>
      </c>
      <c r="AK1" s="3" t="s">
        <v>21</v>
      </c>
      <c r="AL1" s="2" t="s">
        <v>24</v>
      </c>
    </row>
    <row r="2" spans="1:38" s="2" customFormat="1" ht="16.5" x14ac:dyDescent="0.3">
      <c r="A2" s="13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AC2" s="3"/>
      <c r="AD2" s="3"/>
      <c r="AE2" s="3"/>
      <c r="AF2" s="29">
        <v>18</v>
      </c>
      <c r="AG2" s="25">
        <v>300000</v>
      </c>
      <c r="AH2" s="26">
        <v>21187.06</v>
      </c>
      <c r="AI2" s="27">
        <f>RATE(AF2,AH2,-AG2,0,0)</f>
        <v>2.658137713842321E-2</v>
      </c>
      <c r="AJ2" s="36">
        <f>AI2/1.16</f>
        <v>2.2914980291744148E-2</v>
      </c>
      <c r="AK2" s="25">
        <f>AH2*AF2</f>
        <v>381367.08</v>
      </c>
      <c r="AL2" s="37">
        <v>0.37</v>
      </c>
    </row>
    <row r="3" spans="1:38" s="2" customFormat="1" x14ac:dyDescent="0.25">
      <c r="A3" s="13"/>
      <c r="B3" s="19"/>
      <c r="C3" s="19"/>
      <c r="D3" s="33" t="s">
        <v>0</v>
      </c>
      <c r="E3" s="33"/>
      <c r="F3" s="34" t="s">
        <v>23</v>
      </c>
      <c r="G3" s="34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AC3" s="3"/>
      <c r="AD3" s="3"/>
      <c r="AE3" s="3"/>
      <c r="AF3" s="29">
        <v>30</v>
      </c>
      <c r="AG3" s="25">
        <v>300000</v>
      </c>
      <c r="AH3" s="30">
        <v>14637.22</v>
      </c>
      <c r="AI3" s="27">
        <f t="shared" ref="AI3:AI5" si="0">RATE(AF3,AH3,-AG3,0,0)</f>
        <v>2.6581387624994918E-2</v>
      </c>
      <c r="AJ3" s="36">
        <f t="shared" ref="AJ3:AJ5" si="1">AI3/1.16</f>
        <v>2.2914989331892174E-2</v>
      </c>
      <c r="AK3" s="25">
        <f t="shared" ref="AK3:AK5" si="2">AH3*AF3</f>
        <v>439116.6</v>
      </c>
      <c r="AL3" s="37">
        <v>0.37</v>
      </c>
    </row>
    <row r="4" spans="1:38" s="2" customFormat="1" x14ac:dyDescent="0.25">
      <c r="A4" s="13"/>
      <c r="B4" s="19"/>
      <c r="C4" s="19"/>
      <c r="D4" s="33" t="s">
        <v>1</v>
      </c>
      <c r="E4" s="33"/>
      <c r="F4" s="31" t="s">
        <v>2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AC4" s="3"/>
      <c r="AD4" s="3"/>
      <c r="AE4" s="3"/>
      <c r="AF4" s="29">
        <v>42</v>
      </c>
      <c r="AG4" s="25">
        <v>300000</v>
      </c>
      <c r="AH4" s="30">
        <v>11942.39</v>
      </c>
      <c r="AI4" s="27">
        <f t="shared" si="0"/>
        <v>2.6581371063934177E-2</v>
      </c>
      <c r="AJ4" s="36">
        <f t="shared" si="1"/>
        <v>2.291497505511567E-2</v>
      </c>
      <c r="AK4" s="25">
        <f t="shared" si="2"/>
        <v>501580.38</v>
      </c>
      <c r="AL4" s="37">
        <v>0.37</v>
      </c>
    </row>
    <row r="5" spans="1:38" s="2" customFormat="1" ht="15.75" x14ac:dyDescent="0.25">
      <c r="A5" s="13"/>
      <c r="B5" s="19"/>
      <c r="C5" s="19"/>
      <c r="D5" s="33" t="s">
        <v>9</v>
      </c>
      <c r="E5" s="35"/>
      <c r="F5" s="1" t="s">
        <v>22</v>
      </c>
      <c r="G5" s="19"/>
      <c r="H5" s="32" t="s">
        <v>26</v>
      </c>
      <c r="I5" s="32"/>
      <c r="J5" s="32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AC5" s="3"/>
      <c r="AD5" s="3"/>
      <c r="AE5" s="3"/>
      <c r="AF5" s="29">
        <v>54</v>
      </c>
      <c r="AG5" s="25">
        <v>300000</v>
      </c>
      <c r="AH5" s="30">
        <v>10527.63</v>
      </c>
      <c r="AI5" s="27">
        <f t="shared" si="0"/>
        <v>2.6581366395352714E-2</v>
      </c>
      <c r="AJ5" s="36">
        <f t="shared" si="1"/>
        <v>2.2914971030476478E-2</v>
      </c>
      <c r="AK5" s="25">
        <f t="shared" si="2"/>
        <v>568492.0199999999</v>
      </c>
      <c r="AL5" s="37">
        <v>0.37</v>
      </c>
    </row>
    <row r="6" spans="1:38" s="2" customFormat="1" ht="15" customHeight="1" x14ac:dyDescent="0.25">
      <c r="A6" s="13"/>
      <c r="B6" s="19"/>
      <c r="C6" s="19"/>
      <c r="D6" s="31"/>
      <c r="E6" s="31"/>
      <c r="F6" s="19"/>
      <c r="G6" s="19"/>
      <c r="H6" s="32"/>
      <c r="I6" s="32"/>
      <c r="J6" s="32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AC6" s="3"/>
      <c r="AD6" s="3"/>
      <c r="AE6" s="3"/>
      <c r="AF6" s="29"/>
      <c r="AG6" s="25"/>
      <c r="AH6" s="30"/>
      <c r="AI6" s="27"/>
      <c r="AJ6" s="28"/>
      <c r="AK6" s="25"/>
      <c r="AL6" s="24"/>
    </row>
    <row r="7" spans="1:38" s="2" customFormat="1" ht="18.75" x14ac:dyDescent="0.3">
      <c r="A7" s="13"/>
      <c r="B7" s="19"/>
      <c r="C7" s="19"/>
      <c r="D7" s="33" t="str">
        <f>IF(F5="MONTO","Ingrese el Monto:","Ingrese la capacidad:")</f>
        <v>Ingrese el Monto:</v>
      </c>
      <c r="E7" s="33"/>
      <c r="F7" s="11">
        <v>200000</v>
      </c>
      <c r="G7" s="19"/>
      <c r="H7" s="32"/>
      <c r="I7" s="32"/>
      <c r="J7" s="32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AC7" s="3"/>
      <c r="AD7" s="3"/>
      <c r="AE7" s="3"/>
      <c r="AF7" s="3"/>
      <c r="AG7" s="15"/>
      <c r="AH7" s="18"/>
      <c r="AI7" s="3"/>
      <c r="AJ7" s="3"/>
      <c r="AK7" s="3"/>
    </row>
    <row r="8" spans="1:38" s="2" customFormat="1" x14ac:dyDescent="0.25">
      <c r="A8" s="1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AC8" s="3"/>
      <c r="AD8" s="3"/>
      <c r="AE8" s="3"/>
      <c r="AF8" s="3"/>
      <c r="AG8" s="15"/>
      <c r="AH8" s="18"/>
      <c r="AI8" s="4"/>
      <c r="AJ8" s="4"/>
      <c r="AK8" s="3"/>
    </row>
    <row r="9" spans="1:38" s="2" customFormat="1" x14ac:dyDescent="0.25">
      <c r="A9" s="13"/>
      <c r="B9" s="19"/>
      <c r="C9" s="5" t="s">
        <v>25</v>
      </c>
      <c r="D9" s="5" t="s">
        <v>3</v>
      </c>
      <c r="E9" s="5" t="s">
        <v>4</v>
      </c>
      <c r="F9" s="5" t="s">
        <v>5</v>
      </c>
      <c r="G9" s="5" t="s">
        <v>19</v>
      </c>
      <c r="H9" s="5" t="s">
        <v>20</v>
      </c>
      <c r="I9" s="5" t="s">
        <v>10</v>
      </c>
      <c r="J9" s="5" t="s">
        <v>7</v>
      </c>
      <c r="K9" s="5" t="s">
        <v>11</v>
      </c>
      <c r="L9" s="5" t="s">
        <v>12</v>
      </c>
      <c r="M9" s="5" t="s">
        <v>6</v>
      </c>
      <c r="N9" s="19"/>
      <c r="O9" s="19"/>
      <c r="P9" s="19"/>
      <c r="Q9" s="19"/>
      <c r="R9" s="19"/>
      <c r="S9" s="19"/>
      <c r="T9" s="19"/>
      <c r="U9" s="19"/>
      <c r="V9" s="19"/>
      <c r="W9" s="19"/>
      <c r="AC9" s="3"/>
      <c r="AD9" s="3"/>
      <c r="AE9" s="3"/>
      <c r="AF9" s="3"/>
      <c r="AG9" s="15"/>
      <c r="AH9" s="18"/>
      <c r="AI9" s="4"/>
      <c r="AJ9" s="4"/>
      <c r="AK9" s="3"/>
    </row>
    <row r="10" spans="1:38" s="2" customFormat="1" x14ac:dyDescent="0.25">
      <c r="A10" s="12">
        <v>18</v>
      </c>
      <c r="B10" s="19"/>
      <c r="C10" s="38">
        <f>VLOOKUP(A10,$AF$1:$AL$5,7,0)</f>
        <v>0.37</v>
      </c>
      <c r="D10" s="6" t="str">
        <f>CONCATENATE(A10," M")</f>
        <v>18 M</v>
      </c>
      <c r="E10" s="17">
        <f>IF(IF($F$5="MONTO",IF((IF(MOD($F$7,500)=0,$F$7,$F$7-MOD($F$7,500)))&gt;300000,300000,IF(MOD($F$7,500)=0,$F$7,$F$7-MOD($F$7,500))),IF(((1-(1+G10)^(-A10))/(G10))*$F$7&gt;300000,300000,IF(MOD(((1-(1+G10)^(-A10))/(G10))*$F$7,500)=0,((1-(1+G10)^(-A10))/(G10))*$F$7,((1-(1+G10)^(-A10))/(G10))*$F$7-MOD(((1-(1+G10)^(-A10))/(G10))*$F$7,500))))&gt;=5000,
IF($F$5="MONTO",IF((IF(MOD($F$7,500)=0,$F$7,$F$7-MOD($F$7,500)))&gt;300000,300000,IF(MOD($F$7,500)=0,$F$7,$F$7-MOD($F$7,500))),IF(((1-(1+G10)^(-A10))/(G10))*$F$7&gt;300000,300000,IF(MOD(((1-(1+G10)^(-A10))/(G10))*$F$7,500)=0,((1-(1+G10)^(-A10))/(G10))*$F$7,((1-(1+G10)^(-A10))/(G10))*$F$7-MOD(((1-(1+G10)^(-A10))/(G10))*$F$7,500)))),
0)</f>
        <v>200000</v>
      </c>
      <c r="F10" s="7">
        <f>-PMT(G10,A10,E10,,0)</f>
        <v>14124.706666666983</v>
      </c>
      <c r="G10" s="8">
        <f>VLOOKUP(A10,$AF:$AI,4,0)</f>
        <v>2.658137713842321E-2</v>
      </c>
      <c r="H10" s="8">
        <f>G10/1.16</f>
        <v>2.2914980291744148E-2</v>
      </c>
      <c r="I10" s="8">
        <f t="shared" ref="I10:I13" si="3">IFERROR(((M10-J10)/J10)/A10,0)</f>
        <v>1.5067977777779363E-2</v>
      </c>
      <c r="J10" s="7">
        <f t="shared" ref="J10:J13" si="4">E10</f>
        <v>200000</v>
      </c>
      <c r="K10" s="7">
        <f t="shared" ref="K10:K13" si="5">(M10-J10)/1.16</f>
        <v>46762.689655177339</v>
      </c>
      <c r="L10" s="7">
        <f t="shared" ref="L10:L13" si="6">K10*16%</f>
        <v>7482.0303448283739</v>
      </c>
      <c r="M10" s="7">
        <f t="shared" ref="M10:M13" si="7">F10*A10</f>
        <v>254244.72000000571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AC10" s="3"/>
      <c r="AD10" s="3"/>
      <c r="AE10" s="3"/>
      <c r="AF10" s="3"/>
      <c r="AG10" s="15"/>
      <c r="AH10" s="18"/>
      <c r="AI10" s="4"/>
      <c r="AJ10" s="4"/>
      <c r="AK10" s="3"/>
    </row>
    <row r="11" spans="1:38" s="2" customFormat="1" x14ac:dyDescent="0.25">
      <c r="A11" s="12">
        <v>30</v>
      </c>
      <c r="B11" s="19"/>
      <c r="C11" s="38">
        <f t="shared" ref="C11:C13" si="8">VLOOKUP(A11,$AF$1:$AL$5,7,0)</f>
        <v>0.37</v>
      </c>
      <c r="D11" s="6" t="str">
        <f t="shared" ref="D11:D13" si="9">CONCATENATE(A11," M")</f>
        <v>30 M</v>
      </c>
      <c r="E11" s="17">
        <f t="shared" ref="E11:E13" si="10">IF(IF($F$5="MONTO",IF((IF(MOD($F$7,500)=0,$F$7,$F$7-MOD($F$7,500)))&gt;300000,300000,IF(MOD($F$7,500)=0,$F$7,$F$7-MOD($F$7,500))),IF(((1-(1+G11)^(-A11))/(G11))*$F$7&gt;300000,300000,IF(MOD(((1-(1+G11)^(-A11))/(G11))*$F$7,500)=0,((1-(1+G11)^(-A11))/(G11))*$F$7,((1-(1+G11)^(-A11))/(G11))*$F$7-MOD(((1-(1+G11)^(-A11))/(G11))*$F$7,500))))&gt;=5000,
IF($F$5="MONTO",IF((IF(MOD($F$7,500)=0,$F$7,$F$7-MOD($F$7,500)))&gt;300000,300000,IF(MOD($F$7,500)=0,$F$7,$F$7-MOD($F$7,500))),IF(((1-(1+G11)^(-A11))/(G11))*$F$7&gt;300000,300000,IF(MOD(((1-(1+G11)^(-A11))/(G11))*$F$7,500)=0,((1-(1+G11)^(-A11))/(G11))*$F$7,((1-(1+G11)^(-A11))/(G11))*$F$7-MOD(((1-(1+G11)^(-A11))/(G11))*$F$7,500)))),
0)</f>
        <v>200000</v>
      </c>
      <c r="F11" s="7">
        <f t="shared" ref="F11:F13" si="11">-PMT(G11,A11,E11,,0)</f>
        <v>9758.1466666666638</v>
      </c>
      <c r="G11" s="8">
        <f>VLOOKUP(A11,$AF:$AI,4,0)</f>
        <v>2.6581387624994918E-2</v>
      </c>
      <c r="H11" s="8">
        <f t="shared" ref="H11:H13" si="12">G11/1.16</f>
        <v>2.2914989331892174E-2</v>
      </c>
      <c r="I11" s="8">
        <f t="shared" si="3"/>
        <v>1.5457399999999984E-2</v>
      </c>
      <c r="J11" s="7">
        <f t="shared" si="4"/>
        <v>200000</v>
      </c>
      <c r="K11" s="7">
        <f t="shared" si="5"/>
        <v>79952.068965517174</v>
      </c>
      <c r="L11" s="7">
        <f t="shared" si="6"/>
        <v>12792.331034482748</v>
      </c>
      <c r="M11" s="7">
        <f t="shared" si="7"/>
        <v>292744.39999999991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AF11" s="3"/>
      <c r="AG11" s="15"/>
      <c r="AH11" s="18"/>
      <c r="AI11" s="3"/>
      <c r="AJ11" s="3"/>
      <c r="AK11" s="3"/>
    </row>
    <row r="12" spans="1:38" s="2" customFormat="1" x14ac:dyDescent="0.25">
      <c r="A12" s="12">
        <v>42</v>
      </c>
      <c r="B12" s="19"/>
      <c r="C12" s="38">
        <f t="shared" si="8"/>
        <v>0.37</v>
      </c>
      <c r="D12" s="6" t="str">
        <f t="shared" si="9"/>
        <v>42 M</v>
      </c>
      <c r="E12" s="17">
        <f t="shared" si="10"/>
        <v>200000</v>
      </c>
      <c r="F12" s="7">
        <f t="shared" si="11"/>
        <v>7961.5933333334979</v>
      </c>
      <c r="G12" s="8">
        <f>VLOOKUP(A12,$AF:$AI,4,0)</f>
        <v>2.6581371063934177E-2</v>
      </c>
      <c r="H12" s="8">
        <f t="shared" si="12"/>
        <v>2.291497505511567E-2</v>
      </c>
      <c r="I12" s="8">
        <f t="shared" si="3"/>
        <v>1.5998442857143681E-2</v>
      </c>
      <c r="J12" s="7">
        <f t="shared" si="4"/>
        <v>200000</v>
      </c>
      <c r="K12" s="7">
        <f t="shared" si="5"/>
        <v>115850.79310345424</v>
      </c>
      <c r="L12" s="7">
        <f t="shared" si="6"/>
        <v>18536.12689655268</v>
      </c>
      <c r="M12" s="7">
        <f t="shared" si="7"/>
        <v>334386.92000000691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AF12" s="3"/>
      <c r="AG12" s="15"/>
      <c r="AH12" s="18"/>
      <c r="AI12" s="3"/>
      <c r="AJ12" s="3"/>
      <c r="AK12" s="3"/>
    </row>
    <row r="13" spans="1:38" s="2" customFormat="1" x14ac:dyDescent="0.25">
      <c r="A13" s="12">
        <v>54</v>
      </c>
      <c r="B13" s="19"/>
      <c r="C13" s="38">
        <f t="shared" si="8"/>
        <v>0.37</v>
      </c>
      <c r="D13" s="6" t="str">
        <f t="shared" si="9"/>
        <v>54 M</v>
      </c>
      <c r="E13" s="17">
        <f t="shared" si="10"/>
        <v>200000</v>
      </c>
      <c r="F13" s="7">
        <f t="shared" si="11"/>
        <v>7018.4199999999992</v>
      </c>
      <c r="G13" s="8">
        <f>VLOOKUP(A13,$AF:$AI,4,0)</f>
        <v>2.6581366395352714E-2</v>
      </c>
      <c r="H13" s="8">
        <f t="shared" si="12"/>
        <v>2.2914971030476478E-2</v>
      </c>
      <c r="I13" s="8">
        <f t="shared" si="3"/>
        <v>1.6573581481481477E-2</v>
      </c>
      <c r="J13" s="7">
        <f t="shared" si="4"/>
        <v>200000</v>
      </c>
      <c r="K13" s="7">
        <f t="shared" si="5"/>
        <v>154305.75862068962</v>
      </c>
      <c r="L13" s="7">
        <f t="shared" si="6"/>
        <v>24688.921379310341</v>
      </c>
      <c r="M13" s="7">
        <f t="shared" si="7"/>
        <v>378994.67999999993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AF13" s="3"/>
      <c r="AG13" s="15"/>
      <c r="AH13" s="18"/>
      <c r="AI13" s="3"/>
      <c r="AJ13" s="3"/>
      <c r="AK13" s="3"/>
    </row>
    <row r="14" spans="1:38" s="2" customFormat="1" x14ac:dyDescent="0.25">
      <c r="A14" s="13"/>
      <c r="B14" s="19"/>
      <c r="C14" s="19"/>
      <c r="D14" s="20" t="s">
        <v>8</v>
      </c>
      <c r="E14" s="19"/>
      <c r="F14" s="19"/>
      <c r="G14" s="19"/>
      <c r="H14" s="19"/>
      <c r="I14" s="19"/>
      <c r="J14" s="19"/>
      <c r="K14" s="19"/>
      <c r="L14" s="19"/>
      <c r="M14" s="21"/>
      <c r="N14" s="19"/>
      <c r="O14" s="19"/>
      <c r="P14" s="19"/>
      <c r="Q14" s="19"/>
      <c r="R14" s="19"/>
      <c r="S14" s="19"/>
      <c r="T14" s="19"/>
      <c r="U14" s="19"/>
      <c r="V14" s="19"/>
      <c r="W14" s="19"/>
      <c r="AF14" s="3"/>
      <c r="AG14" s="15"/>
      <c r="AH14" s="18"/>
      <c r="AI14" s="4"/>
      <c r="AJ14" s="4"/>
      <c r="AK14" s="3"/>
    </row>
    <row r="15" spans="1:38" s="2" customFormat="1" x14ac:dyDescent="0.25">
      <c r="A15" s="13"/>
      <c r="B15" s="19"/>
      <c r="C15" s="19"/>
      <c r="D15" s="20" t="s">
        <v>18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AH15" s="22"/>
    </row>
    <row r="16" spans="1:38" s="2" customFormat="1" x14ac:dyDescent="0.25">
      <c r="A16" s="1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AH16" s="22"/>
    </row>
    <row r="17" spans="1:37" s="2" customFormat="1" x14ac:dyDescent="0.25">
      <c r="A17" s="1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AH17" s="22"/>
    </row>
    <row r="18" spans="1:37" s="2" customFormat="1" x14ac:dyDescent="0.25">
      <c r="A18" s="13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AH18" s="22"/>
    </row>
    <row r="19" spans="1:37" s="2" customFormat="1" x14ac:dyDescent="0.25">
      <c r="A19" s="1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AH19" s="22"/>
    </row>
    <row r="20" spans="1:37" s="2" customFormat="1" x14ac:dyDescent="0.25">
      <c r="A20" s="13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AF20" s="3"/>
      <c r="AG20" s="15"/>
      <c r="AH20" s="18"/>
      <c r="AI20" s="3"/>
      <c r="AJ20" s="3"/>
      <c r="AK20" s="3"/>
    </row>
    <row r="21" spans="1:37" s="2" customFormat="1" x14ac:dyDescent="0.25">
      <c r="A21" s="13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AF21" s="3"/>
      <c r="AG21" s="15"/>
      <c r="AH21" s="18"/>
      <c r="AI21" s="3"/>
      <c r="AJ21" s="3"/>
      <c r="AK21" s="3"/>
    </row>
    <row r="22" spans="1:37" x14ac:dyDescent="0.25">
      <c r="A22" s="13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37" x14ac:dyDescent="0.25">
      <c r="A23" s="13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1:37" x14ac:dyDescent="0.25">
      <c r="A24" s="13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</row>
    <row r="25" spans="1:37" x14ac:dyDescent="0.25">
      <c r="A25" s="13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spans="1:37" x14ac:dyDescent="0.25">
      <c r="A26" s="13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1:37" x14ac:dyDescent="0.25">
      <c r="A27" s="13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37" x14ac:dyDescent="0.25">
      <c r="A28" s="13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37" x14ac:dyDescent="0.25">
      <c r="A29" s="13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1:37" x14ac:dyDescent="0.25">
      <c r="A30" s="13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spans="1:37" x14ac:dyDescent="0.25">
      <c r="A31" s="1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spans="1:37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spans="1:23" x14ac:dyDescent="0.25">
      <c r="A33" s="13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x14ac:dyDescent="0.25">
      <c r="A34" s="13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1:23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1:23" x14ac:dyDescent="0.25">
      <c r="A36" s="13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1:23" x14ac:dyDescent="0.25">
      <c r="A37" s="13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39" spans="1:23" x14ac:dyDescent="0.25">
      <c r="A39" s="13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</row>
    <row r="40" spans="1:23" x14ac:dyDescent="0.25">
      <c r="A40" s="13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</row>
    <row r="41" spans="1:23" x14ac:dyDescent="0.25">
      <c r="A41" s="13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spans="1:23" x14ac:dyDescent="0.25">
      <c r="A42" s="13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</row>
    <row r="43" spans="1:23" x14ac:dyDescent="0.25">
      <c r="A43" s="13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spans="1:23" x14ac:dyDescent="0.25">
      <c r="A44" s="13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spans="1:23" x14ac:dyDescent="0.25">
      <c r="A45" s="13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</row>
    <row r="46" spans="1:23" x14ac:dyDescent="0.25">
      <c r="A46" s="13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</row>
  </sheetData>
  <sheetProtection algorithmName="SHA-512" hashValue="+c4U6fK31/hqgppIRf6Ad6tiLjZ/DuwjvPzzMFEhook7ucZf+EnGU+Ekedzy4liDXBovEI4L9gCFwy3uoAAuNg==" saltValue="dpIN5y+k7dmuzA4/01oUjg==" spinCount="100000" sheet="1" objects="1" scenarios="1" selectLockedCells="1"/>
  <mergeCells count="6">
    <mergeCell ref="D3:E3"/>
    <mergeCell ref="F3:G3"/>
    <mergeCell ref="D4:E4"/>
    <mergeCell ref="D5:E5"/>
    <mergeCell ref="H5:J7"/>
    <mergeCell ref="D7:E7"/>
  </mergeCells>
  <dataValidations count="1">
    <dataValidation type="list" allowBlank="1" showInputMessage="1" showErrorMessage="1" sqref="F5">
      <formula1>"Monto, Capacidad"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CREDITOS NUEVOS Y LQ-3 CAT 37%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dcterms:created xsi:type="dcterms:W3CDTF">2022-04-20T16:01:06Z</dcterms:created>
  <dcterms:modified xsi:type="dcterms:W3CDTF">2025-07-08T21:33:34Z</dcterms:modified>
</cp:coreProperties>
</file>