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cuments\"/>
    </mc:Choice>
  </mc:AlternateContent>
  <bookViews>
    <workbookView showHorizontalScroll="0" showVerticalScroll="0" xWindow="0" yWindow="0" windowWidth="24000" windowHeight="9735"/>
  </bookViews>
  <sheets>
    <sheet name="4208-CREDITO NUEVO E INTERCOMPA" sheetId="14" r:id="rId1"/>
    <sheet name="3937-LQ3" sheetId="19" r:id="rId2"/>
    <sheet name="4012-PRODUCTO MAX TASA ESPECIAL" sheetId="18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9" l="1"/>
  <c r="I11" i="19" s="1"/>
  <c r="C11" i="19"/>
  <c r="D10" i="19"/>
  <c r="I10" i="19" s="1"/>
  <c r="C10" i="19"/>
  <c r="C6" i="19"/>
  <c r="AT3" i="19"/>
  <c r="AU3" i="19" s="1"/>
  <c r="AT2" i="19"/>
  <c r="AU2" i="19" s="1"/>
  <c r="D11" i="18"/>
  <c r="I11" i="18" s="1"/>
  <c r="D10" i="18"/>
  <c r="I10" i="18" s="1"/>
  <c r="D11" i="14"/>
  <c r="D10" i="14"/>
  <c r="C11" i="18"/>
  <c r="C10" i="18"/>
  <c r="C6" i="18"/>
  <c r="AT3" i="18"/>
  <c r="AU3" i="18" s="1"/>
  <c r="AT2" i="18"/>
  <c r="AU2" i="18" s="1"/>
  <c r="F11" i="19" l="1"/>
  <c r="AV3" i="19"/>
  <c r="AW3" i="19" s="1"/>
  <c r="AV2" i="19"/>
  <c r="AW2" i="19" s="1"/>
  <c r="F10" i="19"/>
  <c r="F10" i="18"/>
  <c r="AV2" i="18"/>
  <c r="AW2" i="18" s="1"/>
  <c r="AV3" i="18"/>
  <c r="AW3" i="18" s="1"/>
  <c r="F11" i="18"/>
  <c r="E10" i="19" l="1"/>
  <c r="L10" i="19" s="1"/>
  <c r="G10" i="19"/>
  <c r="G11" i="19"/>
  <c r="E11" i="19"/>
  <c r="L11" i="19" s="1"/>
  <c r="G11" i="18"/>
  <c r="E11" i="18"/>
  <c r="L11" i="18" s="1"/>
  <c r="E10" i="18"/>
  <c r="L10" i="18" s="1"/>
  <c r="G10" i="18"/>
  <c r="J10" i="19" l="1"/>
  <c r="K10" i="19" s="1"/>
  <c r="H10" i="19"/>
  <c r="J11" i="19"/>
  <c r="K11" i="19" s="1"/>
  <c r="H11" i="19"/>
  <c r="J10" i="18"/>
  <c r="K10" i="18" s="1"/>
  <c r="H10" i="18"/>
  <c r="J11" i="18"/>
  <c r="K11" i="18" s="1"/>
  <c r="H11" i="18"/>
  <c r="C11" i="14" l="1"/>
  <c r="C10" i="14"/>
  <c r="C6" i="14"/>
  <c r="AT3" i="14"/>
  <c r="AU3" i="14" s="1"/>
  <c r="AT2" i="14"/>
  <c r="AU2" i="14" s="1"/>
  <c r="I10" i="14" l="1"/>
  <c r="E10" i="14"/>
  <c r="I11" i="14"/>
  <c r="E11" i="14"/>
  <c r="AV2" i="14"/>
  <c r="AW2" i="14" s="1"/>
  <c r="F11" i="14"/>
  <c r="AV3" i="14"/>
  <c r="AW3" i="14" s="1"/>
  <c r="F10" i="14"/>
  <c r="L11" i="14" l="1"/>
  <c r="G11" i="14"/>
  <c r="G10" i="14"/>
  <c r="L10" i="14"/>
  <c r="H10" i="14" l="1"/>
  <c r="J10" i="14"/>
  <c r="K10" i="14" s="1"/>
  <c r="J11" i="14"/>
  <c r="K11" i="14" s="1"/>
  <c r="H11" i="14"/>
</calcChain>
</file>

<file path=xl/comments1.xml><?xml version="1.0" encoding="utf-8"?>
<comments xmlns="http://schemas.openxmlformats.org/spreadsheetml/2006/main">
  <authors>
    <author>lenovo</author>
  </authors>
  <commentList>
    <comment ref="F9" authorId="0" shapeId="0">
      <text>
        <r>
          <rPr>
            <sz val="9"/>
            <color indexed="81"/>
            <rFont val="Tahoma"/>
            <family val="2"/>
          </rPr>
          <t>Tasa insoluta mensual con IVA.</t>
        </r>
      </text>
    </comment>
    <comment ref="G9" authorId="0" shapeId="0">
      <text>
        <r>
          <rPr>
            <sz val="9"/>
            <color indexed="81"/>
            <rFont val="Tahoma"/>
            <family val="2"/>
          </rPr>
          <t>Tasa insoluta mensual con IVA.</t>
        </r>
      </text>
    </comment>
  </commentList>
</comments>
</file>

<file path=xl/comments2.xml><?xml version="1.0" encoding="utf-8"?>
<comments xmlns="http://schemas.openxmlformats.org/spreadsheetml/2006/main">
  <authors>
    <author>lenovo</author>
  </authors>
  <commentList>
    <comment ref="F9" authorId="0" shapeId="0">
      <text>
        <r>
          <rPr>
            <sz val="9"/>
            <color indexed="81"/>
            <rFont val="Tahoma"/>
            <family val="2"/>
          </rPr>
          <t>Tasa insoluta mensual con IVA.</t>
        </r>
      </text>
    </comment>
    <comment ref="G9" authorId="0" shapeId="0">
      <text>
        <r>
          <rPr>
            <sz val="9"/>
            <color indexed="81"/>
            <rFont val="Tahoma"/>
            <family val="2"/>
          </rPr>
          <t>Tasa insoluta mensual con IVA.</t>
        </r>
      </text>
    </comment>
  </commentList>
</comments>
</file>

<file path=xl/comments3.xml><?xml version="1.0" encoding="utf-8"?>
<comments xmlns="http://schemas.openxmlformats.org/spreadsheetml/2006/main">
  <authors>
    <author>lenovo</author>
  </authors>
  <commentList>
    <comment ref="F9" authorId="0" shapeId="0">
      <text>
        <r>
          <rPr>
            <sz val="9"/>
            <color indexed="81"/>
            <rFont val="Tahoma"/>
            <family val="2"/>
          </rPr>
          <t>Tasa insoluta mensual con IVA.</t>
        </r>
      </text>
    </comment>
    <comment ref="G9" authorId="0" shapeId="0">
      <text>
        <r>
          <rPr>
            <sz val="9"/>
            <color indexed="81"/>
            <rFont val="Tahoma"/>
            <family val="2"/>
          </rPr>
          <t>Tasa insoluta mensual con IVA.</t>
        </r>
      </text>
    </comment>
  </commentList>
</comments>
</file>

<file path=xl/sharedStrings.xml><?xml version="1.0" encoding="utf-8"?>
<sst xmlns="http://schemas.openxmlformats.org/spreadsheetml/2006/main" count="78" uniqueCount="28">
  <si>
    <t xml:space="preserve">Dependencia: </t>
  </si>
  <si>
    <t>Frecuencia:</t>
  </si>
  <si>
    <t>Mensual</t>
  </si>
  <si>
    <t>Plazo</t>
  </si>
  <si>
    <t>Prestamo</t>
  </si>
  <si>
    <t>Pagare</t>
  </si>
  <si>
    <t>Capital</t>
  </si>
  <si>
    <t>*Calculo para fines informativos</t>
  </si>
  <si>
    <t>Calculo por:</t>
  </si>
  <si>
    <t>Tasa Global</t>
  </si>
  <si>
    <t>Interes</t>
  </si>
  <si>
    <t>IVA</t>
  </si>
  <si>
    <t>PLAZO Q</t>
  </si>
  <si>
    <t>CAPITAL</t>
  </si>
  <si>
    <t>PAGO QUINCENAL</t>
  </si>
  <si>
    <t>TASA MENSUAL</t>
  </si>
  <si>
    <t>TASA QUINCENAL</t>
  </si>
  <si>
    <t>TASA SIN IVA</t>
  </si>
  <si>
    <t>TASA ANUAL</t>
  </si>
  <si>
    <t>Des. Quincenal</t>
  </si>
  <si>
    <t>*Las tasas globales e insolutas estan en terminos mensuales e incluyen el IVA.</t>
  </si>
  <si>
    <t>Tasa S/IVA</t>
  </si>
  <si>
    <t>Tasa C/IVA</t>
  </si>
  <si>
    <t>Monto</t>
  </si>
  <si>
    <t>SNTE 14 GRO/CONSUPAGO</t>
  </si>
  <si>
    <r>
      <t xml:space="preserve">Condiciones:
Se puede utilizar para hacer simulaciones de </t>
    </r>
    <r>
      <rPr>
        <b/>
        <sz val="7.5"/>
        <color rgb="FFFF0000"/>
        <rFont val="Calibri"/>
        <family val="2"/>
        <scheme val="minor"/>
      </rPr>
      <t>CRÉDITOS NUEVOS y COMPRAS INTERCOMPAÑIA DE CSP A MN</t>
    </r>
    <r>
      <rPr>
        <b/>
        <sz val="7.5"/>
        <color theme="1"/>
        <rFont val="Calibri"/>
        <family val="2"/>
        <scheme val="minor"/>
      </rPr>
      <t>.
72 a 96 quincenas, monto mínimo de 10,000 hasta 1,000,000.
Sujetos a crédito: Los empleados de Base que estén adscritos a la sección 14 del SNTE y se identifique en el recibo de nómina de la siguiente forma.</t>
    </r>
  </si>
  <si>
    <r>
      <t xml:space="preserve">Condiciones:
Se utiliza una tasa preferencial para hacer simulaciones de </t>
    </r>
    <r>
      <rPr>
        <b/>
        <sz val="7.5"/>
        <color rgb="FFFF0000"/>
        <rFont val="Calibri"/>
        <family val="2"/>
        <scheme val="minor"/>
      </rPr>
      <t>CRÉDITOS NUEVOS y COMPRAS INTERCOMPAÑIA DE CSP A MN</t>
    </r>
    <r>
      <rPr>
        <b/>
        <sz val="7.5"/>
        <color theme="1"/>
        <rFont val="Calibri"/>
        <family val="2"/>
        <scheme val="minor"/>
      </rPr>
      <t>.
72 a 96 quincenas, monto mínimo de 40,000 hasta 1,000,000.
Sujetos a crédito: Los empleados de Base que estén adscritos a la sección 14 del SNTE y se identifique en el recibo de nómina de la siguiente forma.</t>
    </r>
  </si>
  <si>
    <r>
      <t xml:space="preserve">Condiciones:
Se puede utilizar para hacer simulaciones de </t>
    </r>
    <r>
      <rPr>
        <b/>
        <sz val="7.5"/>
        <color rgb="FFFF0000"/>
        <rFont val="Calibri"/>
        <family val="2"/>
        <scheme val="minor"/>
      </rPr>
      <t>COMPRAS DE CARTERA</t>
    </r>
    <r>
      <rPr>
        <b/>
        <sz val="7.5"/>
        <color theme="1"/>
        <rFont val="Calibri"/>
        <family val="2"/>
        <scheme val="minor"/>
      </rPr>
      <t>.
72 a 96 quincenas, monto mínimo de 10,000 hasta 1,000,000.
Sujetos a crédito: Los empleados de Base que estén adscritos a la sección 14 del SNTE y se identifique en el recibo de nómina de la siguiente forma.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</si>
</sst>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  <numFmt numFmtId="165" formatCode="_-&quot;$&quot;* #,##0.0000_-;\-&quot;$&quot;* #,##0.0000_-;_-&quot;$&quot;* &quot;-&quot;??_-;_-@_-"/>
    <numFmt numFmtId="166" formatCode="[$-80A]General"/>
  </numFmts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7.5"/>
      <color theme="1"/>
      <name val="Calibri"/>
      <family val="2"/>
      <scheme val="minor"/>
    </font>
    <font>
      <b/>
      <sz val="7.5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C000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6" fontId="2" fillId="0" borderId="0"/>
    <xf numFmtId="9" fontId="3" fillId="0" borderId="0" applyFont="0" applyFill="0" applyBorder="0" applyAlignment="0" applyProtection="0"/>
  </cellStyleXfs>
  <cellXfs count="24">
    <xf numFmtId="0" fontId="0" fillId="0" borderId="0" xfId="0"/>
    <xf numFmtId="0" fontId="0" fillId="4" borderId="0" xfId="0" applyFill="1"/>
    <xf numFmtId="0" fontId="0" fillId="3" borderId="0" xfId="0" applyFill="1"/>
    <xf numFmtId="44" fontId="0" fillId="4" borderId="0" xfId="0" applyNumberFormat="1" applyFill="1"/>
    <xf numFmtId="0" fontId="0" fillId="2" borderId="0" xfId="0" applyFill="1" applyAlignment="1">
      <alignment horizontal="center"/>
    </xf>
    <xf numFmtId="44" fontId="0" fillId="2" borderId="0" xfId="0" applyNumberFormat="1" applyFill="1" applyAlignment="1">
      <alignment horizontal="center"/>
    </xf>
    <xf numFmtId="10" fontId="0" fillId="4" borderId="0" xfId="0" applyNumberFormat="1" applyFill="1"/>
    <xf numFmtId="10" fontId="0" fillId="2" borderId="0" xfId="0" applyNumberFormat="1" applyFill="1" applyAlignment="1">
      <alignment horizontal="center"/>
    </xf>
    <xf numFmtId="10" fontId="0" fillId="4" borderId="0" xfId="2" applyNumberFormat="1" applyFont="1" applyFill="1" applyProtection="1"/>
    <xf numFmtId="0" fontId="4" fillId="4" borderId="0" xfId="0" applyFont="1" applyFill="1" applyAlignment="1" applyProtection="1">
      <alignment horizontal="center"/>
      <protection locked="0"/>
    </xf>
    <xf numFmtId="44" fontId="4" fillId="0" borderId="0" xfId="0" applyNumberFormat="1" applyFont="1" applyAlignment="1" applyProtection="1">
      <alignment horizontal="center"/>
      <protection locked="0"/>
    </xf>
    <xf numFmtId="44" fontId="0" fillId="0" borderId="0" xfId="0" applyNumberFormat="1"/>
    <xf numFmtId="0" fontId="0" fillId="5" borderId="0" xfId="0" applyFill="1"/>
    <xf numFmtId="2" fontId="0" fillId="5" borderId="0" xfId="0" applyNumberFormat="1" applyFill="1"/>
    <xf numFmtId="10" fontId="0" fillId="5" borderId="0" xfId="0" applyNumberFormat="1" applyFill="1"/>
    <xf numFmtId="164" fontId="0" fillId="5" borderId="0" xfId="0" applyNumberFormat="1" applyFill="1"/>
    <xf numFmtId="165" fontId="0" fillId="5" borderId="0" xfId="0" applyNumberFormat="1" applyFill="1"/>
    <xf numFmtId="0" fontId="5" fillId="5" borderId="0" xfId="0" applyFont="1" applyFill="1"/>
    <xf numFmtId="0" fontId="1" fillId="6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2" fontId="7" fillId="4" borderId="0" xfId="0" applyNumberFormat="1" applyFont="1" applyFill="1" applyAlignment="1">
      <alignment horizontal="center" vertical="center" wrapText="1"/>
    </xf>
  </cellXfs>
  <cellStyles count="3">
    <cellStyle name="Excel Built-in Normal" xfId="1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008E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775138</xdr:colOff>
      <xdr:row>29</xdr:row>
      <xdr:rowOff>94593</xdr:rowOff>
    </xdr:from>
    <xdr:to>
      <xdr:col>12</xdr:col>
      <xdr:colOff>0</xdr:colOff>
      <xdr:row>30</xdr:row>
      <xdr:rowOff>147144</xdr:rowOff>
    </xdr:to>
    <xdr:sp macro="" textlink="">
      <xdr:nvSpPr>
        <xdr:cNvPr id="2" name="Rectángulo 1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SpPr/>
      </xdr:nvSpPr>
      <xdr:spPr>
        <a:xfrm>
          <a:off x="9261913" y="6381093"/>
          <a:ext cx="215462" cy="243051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(Capital * Plazo</a:t>
          </a:r>
          <a:r>
            <a:rPr lang="es-MX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* 1.16)</a:t>
          </a:r>
        </a:p>
        <a:p>
          <a:endParaRPr lang="es-MX" sz="1100"/>
        </a:p>
      </xdr:txBody>
    </xdr:sp>
    <xdr:clientData/>
  </xdr:twoCellAnchor>
  <xdr:twoCellAnchor editAs="oneCell">
    <xdr:from>
      <xdr:col>10</xdr:col>
      <xdr:colOff>488950</xdr:colOff>
      <xdr:row>2</xdr:row>
      <xdr:rowOff>171451</xdr:rowOff>
    </xdr:from>
    <xdr:to>
      <xdr:col>16</xdr:col>
      <xdr:colOff>1050250</xdr:colOff>
      <xdr:row>7</xdr:row>
      <xdr:rowOff>61548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01000" y="552451"/>
          <a:ext cx="5400000" cy="842597"/>
        </a:xfrm>
        <a:prstGeom prst="rect">
          <a:avLst/>
        </a:prstGeom>
      </xdr:spPr>
    </xdr:pic>
    <xdr:clientData/>
  </xdr:twoCellAnchor>
  <xdr:twoCellAnchor>
    <xdr:from>
      <xdr:col>10</xdr:col>
      <xdr:colOff>76200</xdr:colOff>
      <xdr:row>4</xdr:row>
      <xdr:rowOff>76200</xdr:rowOff>
    </xdr:from>
    <xdr:to>
      <xdr:col>10</xdr:col>
      <xdr:colOff>444500</xdr:colOff>
      <xdr:row>5</xdr:row>
      <xdr:rowOff>146050</xdr:rowOff>
    </xdr:to>
    <xdr:sp macro="" textlink="">
      <xdr:nvSpPr>
        <xdr:cNvPr id="4" name="Flecha derecha 3"/>
        <xdr:cNvSpPr/>
      </xdr:nvSpPr>
      <xdr:spPr>
        <a:xfrm>
          <a:off x="7588250" y="838200"/>
          <a:ext cx="368300" cy="2603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775138</xdr:colOff>
      <xdr:row>29</xdr:row>
      <xdr:rowOff>94593</xdr:rowOff>
    </xdr:from>
    <xdr:to>
      <xdr:col>12</xdr:col>
      <xdr:colOff>0</xdr:colOff>
      <xdr:row>30</xdr:row>
      <xdr:rowOff>147144</xdr:rowOff>
    </xdr:to>
    <xdr:sp macro="" textlink="">
      <xdr:nvSpPr>
        <xdr:cNvPr id="2" name="Rectángulo 1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SpPr/>
      </xdr:nvSpPr>
      <xdr:spPr>
        <a:xfrm>
          <a:off x="9261913" y="5619093"/>
          <a:ext cx="215462" cy="243051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(Capital * Plazo</a:t>
          </a:r>
          <a:r>
            <a:rPr lang="es-MX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* 1.16)</a:t>
          </a:r>
        </a:p>
        <a:p>
          <a:endParaRPr lang="es-MX" sz="1100"/>
        </a:p>
      </xdr:txBody>
    </xdr:sp>
    <xdr:clientData/>
  </xdr:twoCellAnchor>
  <xdr:twoCellAnchor editAs="oneCell">
    <xdr:from>
      <xdr:col>10</xdr:col>
      <xdr:colOff>488950</xdr:colOff>
      <xdr:row>2</xdr:row>
      <xdr:rowOff>171451</xdr:rowOff>
    </xdr:from>
    <xdr:to>
      <xdr:col>16</xdr:col>
      <xdr:colOff>1050250</xdr:colOff>
      <xdr:row>7</xdr:row>
      <xdr:rowOff>61548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85125" y="552451"/>
          <a:ext cx="5400000" cy="842597"/>
        </a:xfrm>
        <a:prstGeom prst="rect">
          <a:avLst/>
        </a:prstGeom>
      </xdr:spPr>
    </xdr:pic>
    <xdr:clientData/>
  </xdr:twoCellAnchor>
  <xdr:twoCellAnchor>
    <xdr:from>
      <xdr:col>10</xdr:col>
      <xdr:colOff>76200</xdr:colOff>
      <xdr:row>4</xdr:row>
      <xdr:rowOff>76200</xdr:rowOff>
    </xdr:from>
    <xdr:to>
      <xdr:col>10</xdr:col>
      <xdr:colOff>444500</xdr:colOff>
      <xdr:row>5</xdr:row>
      <xdr:rowOff>146050</xdr:rowOff>
    </xdr:to>
    <xdr:sp macro="" textlink="">
      <xdr:nvSpPr>
        <xdr:cNvPr id="4" name="Flecha derecha 3"/>
        <xdr:cNvSpPr/>
      </xdr:nvSpPr>
      <xdr:spPr>
        <a:xfrm>
          <a:off x="7572375" y="838200"/>
          <a:ext cx="368300" cy="2603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775138</xdr:colOff>
      <xdr:row>29</xdr:row>
      <xdr:rowOff>94593</xdr:rowOff>
    </xdr:from>
    <xdr:to>
      <xdr:col>12</xdr:col>
      <xdr:colOff>0</xdr:colOff>
      <xdr:row>30</xdr:row>
      <xdr:rowOff>147144</xdr:rowOff>
    </xdr:to>
    <xdr:sp macro="" textlink="">
      <xdr:nvSpPr>
        <xdr:cNvPr id="2" name="Rectángulo 1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SpPr/>
      </xdr:nvSpPr>
      <xdr:spPr>
        <a:xfrm>
          <a:off x="9261913" y="5619093"/>
          <a:ext cx="215462" cy="243051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(Capital * Plazo</a:t>
          </a:r>
          <a:r>
            <a:rPr lang="es-MX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* 1.16)</a:t>
          </a:r>
        </a:p>
        <a:p>
          <a:endParaRPr lang="es-MX" sz="1100"/>
        </a:p>
      </xdr:txBody>
    </xdr:sp>
    <xdr:clientData/>
  </xdr:twoCellAnchor>
  <xdr:twoCellAnchor editAs="oneCell">
    <xdr:from>
      <xdr:col>10</xdr:col>
      <xdr:colOff>488950</xdr:colOff>
      <xdr:row>2</xdr:row>
      <xdr:rowOff>171451</xdr:rowOff>
    </xdr:from>
    <xdr:to>
      <xdr:col>16</xdr:col>
      <xdr:colOff>1050250</xdr:colOff>
      <xdr:row>7</xdr:row>
      <xdr:rowOff>61548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85125" y="552451"/>
          <a:ext cx="5400000" cy="842597"/>
        </a:xfrm>
        <a:prstGeom prst="rect">
          <a:avLst/>
        </a:prstGeom>
      </xdr:spPr>
    </xdr:pic>
    <xdr:clientData/>
  </xdr:twoCellAnchor>
  <xdr:twoCellAnchor>
    <xdr:from>
      <xdr:col>10</xdr:col>
      <xdr:colOff>76200</xdr:colOff>
      <xdr:row>4</xdr:row>
      <xdr:rowOff>76200</xdr:rowOff>
    </xdr:from>
    <xdr:to>
      <xdr:col>10</xdr:col>
      <xdr:colOff>444500</xdr:colOff>
      <xdr:row>5</xdr:row>
      <xdr:rowOff>146050</xdr:rowOff>
    </xdr:to>
    <xdr:sp macro="" textlink="">
      <xdr:nvSpPr>
        <xdr:cNvPr id="4" name="Flecha derecha 3"/>
        <xdr:cNvSpPr/>
      </xdr:nvSpPr>
      <xdr:spPr>
        <a:xfrm>
          <a:off x="7572375" y="838200"/>
          <a:ext cx="368300" cy="2603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27"/>
  <sheetViews>
    <sheetView showGridLines="0" tabSelected="1" topLeftCell="B1" zoomScale="150" zoomScaleNormal="150" workbookViewId="0">
      <selection activeCell="E4" sqref="E4"/>
    </sheetView>
  </sheetViews>
  <sheetFormatPr baseColWidth="10" defaultColWidth="11.42578125" defaultRowHeight="15" x14ac:dyDescent="0.25"/>
  <cols>
    <col min="1" max="1" width="6.5703125" hidden="1" customWidth="1"/>
    <col min="2" max="2" width="4.42578125" customWidth="1"/>
    <col min="4" max="4" width="14.42578125" bestFit="1" customWidth="1"/>
    <col min="5" max="5" width="14.140625" bestFit="1" customWidth="1"/>
    <col min="6" max="6" width="13.5703125" bestFit="1" customWidth="1"/>
    <col min="7" max="7" width="10.28515625" bestFit="1" customWidth="1"/>
    <col min="8" max="8" width="14.42578125" bestFit="1" customWidth="1"/>
    <col min="9" max="12" width="14.85546875" customWidth="1"/>
    <col min="15" max="15" width="8.5703125" bestFit="1" customWidth="1"/>
    <col min="16" max="16" width="11.42578125" bestFit="1" customWidth="1"/>
    <col min="17" max="17" width="17.140625" bestFit="1" customWidth="1"/>
    <col min="18" max="18" width="16.5703125" bestFit="1" customWidth="1"/>
    <col min="19" max="19" width="14.5703125" bestFit="1" customWidth="1"/>
    <col min="20" max="20" width="12.5703125" bestFit="1" customWidth="1"/>
    <col min="21" max="21" width="12.140625" bestFit="1" customWidth="1"/>
    <col min="43" max="43" width="8.5703125" bestFit="1" customWidth="1"/>
    <col min="44" max="44" width="15.28515625" style="11" bestFit="1" customWidth="1"/>
    <col min="45" max="45" width="17.140625" style="11" bestFit="1" customWidth="1"/>
    <col min="46" max="46" width="16.5703125" bestFit="1" customWidth="1"/>
    <col min="47" max="47" width="14.5703125" bestFit="1" customWidth="1"/>
    <col min="48" max="48" width="12.5703125" bestFit="1" customWidth="1"/>
    <col min="49" max="49" width="12.140625" bestFit="1" customWidth="1"/>
  </cols>
  <sheetData>
    <row r="1" spans="1:49" s="1" customFormat="1" x14ac:dyDescent="0.25">
      <c r="A1" s="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AQ1" s="1" t="s">
        <v>12</v>
      </c>
      <c r="AR1" s="1" t="s">
        <v>13</v>
      </c>
      <c r="AS1" s="1" t="s">
        <v>14</v>
      </c>
      <c r="AT1" s="1" t="s">
        <v>16</v>
      </c>
      <c r="AU1" s="1" t="s">
        <v>15</v>
      </c>
      <c r="AV1" s="1" t="s">
        <v>17</v>
      </c>
      <c r="AW1" s="1" t="s">
        <v>18</v>
      </c>
    </row>
    <row r="2" spans="1:49" s="1" customFormat="1" x14ac:dyDescent="0.25">
      <c r="A2" s="2"/>
      <c r="B2" s="12"/>
      <c r="C2" s="21" t="s">
        <v>0</v>
      </c>
      <c r="D2" s="21"/>
      <c r="E2" s="22" t="s">
        <v>24</v>
      </c>
      <c r="F2" s="22"/>
      <c r="G2" s="2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8"/>
      <c r="T2" s="8"/>
      <c r="U2" s="8"/>
      <c r="AQ2" s="1">
        <v>72</v>
      </c>
      <c r="AR2" s="3">
        <v>1000000</v>
      </c>
      <c r="AS2" s="3">
        <v>26545.8</v>
      </c>
      <c r="AT2" s="6">
        <f t="shared" ref="AT2:AT7" si="0">RATE(AQ2,-AS2,AR2,0,0)</f>
        <v>2.0300002424700769E-2</v>
      </c>
      <c r="AU2" s="6">
        <f>AT2*2</f>
        <v>4.0600004849401537E-2</v>
      </c>
      <c r="AV2" s="6">
        <f>AU2/1.16</f>
        <v>3.5000004180518567E-2</v>
      </c>
      <c r="AW2" s="6">
        <f>AV2*12</f>
        <v>0.42000005016622277</v>
      </c>
    </row>
    <row r="3" spans="1:49" s="1" customFormat="1" x14ac:dyDescent="0.25">
      <c r="A3" s="2"/>
      <c r="B3" s="12"/>
      <c r="C3" s="21" t="s">
        <v>1</v>
      </c>
      <c r="D3" s="21"/>
      <c r="E3" s="19" t="s">
        <v>2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8"/>
      <c r="T3" s="8"/>
      <c r="U3" s="8"/>
      <c r="AQ3" s="1">
        <v>96</v>
      </c>
      <c r="AR3" s="3">
        <v>1000000</v>
      </c>
      <c r="AS3" s="3">
        <v>23749.7</v>
      </c>
      <c r="AT3" s="6">
        <f t="shared" si="0"/>
        <v>2.0300003754189045E-2</v>
      </c>
      <c r="AU3" s="6">
        <f t="shared" ref="AU3:AU7" si="1">AT3*2</f>
        <v>4.060000750837809E-2</v>
      </c>
      <c r="AV3" s="6">
        <f t="shared" ref="AV3:AV7" si="2">AU3/1.16</f>
        <v>3.5000006472739736E-2</v>
      </c>
      <c r="AW3" s="6">
        <f t="shared" ref="AW3:AW7" si="3">AV3*12</f>
        <v>0.42000007767287684</v>
      </c>
    </row>
    <row r="4" spans="1:49" s="1" customFormat="1" ht="15" customHeight="1" x14ac:dyDescent="0.25">
      <c r="A4" s="2"/>
      <c r="B4" s="12"/>
      <c r="C4" s="21" t="s">
        <v>8</v>
      </c>
      <c r="D4" s="21"/>
      <c r="E4" s="9" t="s">
        <v>23</v>
      </c>
      <c r="F4" s="12"/>
      <c r="G4" s="23" t="s">
        <v>25</v>
      </c>
      <c r="H4" s="23"/>
      <c r="I4" s="23"/>
      <c r="J4" s="23"/>
      <c r="K4" s="12"/>
      <c r="L4" s="12"/>
      <c r="M4" s="12"/>
      <c r="N4" s="12"/>
      <c r="O4" s="12"/>
      <c r="P4" s="12"/>
      <c r="Q4" s="12"/>
      <c r="R4" s="12"/>
      <c r="S4" s="8"/>
      <c r="T4" s="8"/>
      <c r="U4" s="8"/>
      <c r="AR4" s="3"/>
      <c r="AS4" s="3"/>
      <c r="AT4" s="6"/>
      <c r="AU4" s="6"/>
      <c r="AV4" s="6"/>
      <c r="AW4" s="6"/>
    </row>
    <row r="5" spans="1:49" s="1" customFormat="1" x14ac:dyDescent="0.25">
      <c r="A5" s="2"/>
      <c r="B5" s="12"/>
      <c r="C5" s="12"/>
      <c r="D5" s="12"/>
      <c r="E5" s="12"/>
      <c r="F5" s="12"/>
      <c r="G5" s="23"/>
      <c r="H5" s="23"/>
      <c r="I5" s="23"/>
      <c r="J5" s="23"/>
      <c r="K5" s="12"/>
      <c r="L5" s="12"/>
      <c r="M5" s="12"/>
      <c r="N5" s="12"/>
      <c r="O5" s="12"/>
      <c r="P5" s="12"/>
      <c r="Q5" s="12"/>
      <c r="R5" s="12"/>
      <c r="S5" s="8"/>
      <c r="T5" s="8"/>
      <c r="U5" s="8"/>
      <c r="AR5" s="3"/>
      <c r="AS5" s="3"/>
      <c r="AT5" s="6"/>
      <c r="AU5" s="6"/>
      <c r="AV5" s="6"/>
      <c r="AW5" s="6"/>
    </row>
    <row r="6" spans="1:49" s="1" customFormat="1" x14ac:dyDescent="0.25">
      <c r="A6" s="2"/>
      <c r="B6" s="12"/>
      <c r="C6" s="21" t="str">
        <f>IF(E4="MONTO","Ingrese el Monto:","Ingrese la capacidad:")</f>
        <v>Ingrese el Monto:</v>
      </c>
      <c r="D6" s="21"/>
      <c r="E6" s="10">
        <v>100000</v>
      </c>
      <c r="F6" s="12"/>
      <c r="G6" s="23"/>
      <c r="H6" s="23"/>
      <c r="I6" s="23"/>
      <c r="J6" s="23"/>
      <c r="K6" s="16"/>
      <c r="L6" s="12"/>
      <c r="M6" s="12"/>
      <c r="N6" s="12"/>
      <c r="O6" s="12"/>
      <c r="P6" s="12"/>
      <c r="Q6" s="12"/>
      <c r="R6" s="12"/>
      <c r="AR6" s="3"/>
      <c r="AS6" s="3"/>
      <c r="AT6" s="6"/>
      <c r="AU6" s="6"/>
      <c r="AV6" s="6"/>
      <c r="AW6" s="6"/>
    </row>
    <row r="7" spans="1:49" s="1" customFormat="1" x14ac:dyDescent="0.25">
      <c r="A7" s="2"/>
      <c r="B7" s="12"/>
      <c r="C7" s="12"/>
      <c r="D7" s="12"/>
      <c r="E7" s="12"/>
      <c r="F7" s="13"/>
      <c r="G7" s="23"/>
      <c r="H7" s="23"/>
      <c r="I7" s="23"/>
      <c r="J7" s="23"/>
      <c r="K7" s="12"/>
      <c r="L7" s="12"/>
      <c r="M7" s="12"/>
      <c r="N7" s="12"/>
      <c r="O7" s="12"/>
      <c r="P7" s="12"/>
      <c r="Q7" s="12"/>
      <c r="R7" s="12"/>
      <c r="AR7" s="3"/>
      <c r="AS7" s="3"/>
      <c r="AT7" s="6"/>
      <c r="AU7" s="6"/>
      <c r="AV7" s="6"/>
      <c r="AW7" s="6"/>
    </row>
    <row r="8" spans="1:49" s="1" customFormat="1" x14ac:dyDescent="0.25">
      <c r="A8" s="2"/>
      <c r="B8" s="12"/>
      <c r="C8" s="12"/>
      <c r="D8" s="12"/>
      <c r="E8" s="12"/>
      <c r="F8" s="13"/>
      <c r="G8" s="13"/>
      <c r="H8" s="14"/>
      <c r="I8" s="15"/>
      <c r="J8" s="12"/>
      <c r="K8" s="12"/>
      <c r="L8" s="12"/>
      <c r="M8" s="12"/>
      <c r="N8" s="12"/>
      <c r="O8" s="12"/>
      <c r="P8" s="12"/>
      <c r="Q8" s="12"/>
      <c r="R8" s="12"/>
      <c r="AR8" s="3"/>
      <c r="AS8" s="3"/>
      <c r="AT8" s="6"/>
      <c r="AU8" s="6"/>
      <c r="AV8" s="6"/>
      <c r="AW8" s="6"/>
    </row>
    <row r="9" spans="1:49" s="1" customFormat="1" x14ac:dyDescent="0.25">
      <c r="A9" s="2"/>
      <c r="B9" s="12"/>
      <c r="C9" s="18" t="s">
        <v>3</v>
      </c>
      <c r="D9" s="18" t="s">
        <v>4</v>
      </c>
      <c r="E9" s="18" t="s">
        <v>19</v>
      </c>
      <c r="F9" s="18" t="s">
        <v>22</v>
      </c>
      <c r="G9" s="18" t="s">
        <v>21</v>
      </c>
      <c r="H9" s="18" t="s">
        <v>9</v>
      </c>
      <c r="I9" s="18" t="s">
        <v>6</v>
      </c>
      <c r="J9" s="18" t="s">
        <v>10</v>
      </c>
      <c r="K9" s="18" t="s">
        <v>11</v>
      </c>
      <c r="L9" s="18" t="s">
        <v>5</v>
      </c>
      <c r="M9" s="12"/>
      <c r="N9" s="12"/>
      <c r="O9" s="12"/>
      <c r="P9" s="12"/>
      <c r="Q9" s="12"/>
      <c r="R9" s="12"/>
      <c r="AR9" s="3"/>
      <c r="AS9" s="3"/>
      <c r="AT9" s="6"/>
      <c r="AU9" s="6"/>
      <c r="AV9" s="6"/>
      <c r="AW9" s="6"/>
    </row>
    <row r="10" spans="1:49" s="1" customFormat="1" x14ac:dyDescent="0.25">
      <c r="A10" s="2">
        <v>72</v>
      </c>
      <c r="B10" s="12"/>
      <c r="C10" s="4" t="str">
        <f t="shared" ref="C10" si="4">CONCATENATE(A10," Q")</f>
        <v>72 Q</v>
      </c>
      <c r="D10" s="5">
        <f>IF(IF($E$4="MONTO",IF((IF(MOD($E$6,500)=0,$E$6,$E$6-MOD($E$6,500)))&gt;1000000,1000000,IF(MOD($E$6,500)=0,$E$6,$E$6-MOD($E$6,500))),IF(((1-(1+(F10/2))^(-A10))/((F10/2)))*$E$6&gt;1000000,1000000,IF(MOD(((1-(1+(F10/2))^(-A10))/(F10))*$E$6,500)=0,((1-(1+(F10/2))^(-A10))/((F10/2)))*$E$6,((1-(1+(F10/2))^(-A10))/((F10/2)))*$E$6-MOD(((1-(1+(F10/2))^(-A10))/((F10/2)))*$E$6,500))))&lt;5000,
0,
IF($E$4="MONTO",IF((IF(MOD($E$6,500)=0,$E$6,$E$6-MOD($E$6,500)))&gt;1000000,1000000,IF(MOD($E$6,500)=0,$E$6,$E$6-MOD($E$6,500))),IF(((1-(1+(F10/2))^(-A10))/((F10/2)))*$E$6&gt;1000000,1000000,IF(MOD(((1-(1+(F10/2))^(-A10))/(F10))*$E$6,500)=0,((1-(1+(F10/2))^(-A10))/((F10/2)))*$E$6,((1-(1+(F10/2))^(-A10))/((F10/2)))*$E$6-MOD(((1-(1+(F10/2))^(-A10))/((F10/2)))*$E$6,500)))))</f>
        <v>100000</v>
      </c>
      <c r="E10" s="5">
        <f>ROUND(-PMT(F10/2,A10,D10,,0),2)</f>
        <v>2654.58</v>
      </c>
      <c r="F10" s="7">
        <f>VLOOKUP(A10,$AQ$1:$AU$13,5,0)</f>
        <v>4.0600004849401537E-2</v>
      </c>
      <c r="G10" s="7">
        <f t="shared" ref="G10:G11" si="5">F10/1.16</f>
        <v>3.5000004180518567E-2</v>
      </c>
      <c r="H10" s="7">
        <f t="shared" ref="H10:H11" si="6">IFERROR(((L10-I10)/I10)/(A10/2),0)</f>
        <v>2.5313822222222223E-2</v>
      </c>
      <c r="I10" s="5">
        <f t="shared" ref="I10:I11" si="7">D10</f>
        <v>100000</v>
      </c>
      <c r="J10" s="5">
        <f t="shared" ref="J10:J11" si="8">(L10-I10)/1.16</f>
        <v>78560.137931034493</v>
      </c>
      <c r="K10" s="5">
        <f t="shared" ref="K10:K11" si="9">J10*16%</f>
        <v>12569.622068965518</v>
      </c>
      <c r="L10" s="5">
        <f t="shared" ref="L10:L11" si="10">E10*A10</f>
        <v>191129.76</v>
      </c>
      <c r="M10" s="12"/>
      <c r="N10" s="12"/>
      <c r="O10" s="12"/>
      <c r="P10" s="12"/>
      <c r="Q10" s="12"/>
      <c r="R10" s="12"/>
      <c r="AR10" s="3"/>
      <c r="AS10" s="3"/>
    </row>
    <row r="11" spans="1:49" s="1" customFormat="1" x14ac:dyDescent="0.25">
      <c r="A11" s="2">
        <v>96</v>
      </c>
      <c r="B11" s="12"/>
      <c r="C11" s="4" t="str">
        <f>CONCATENATE(A11," Q")</f>
        <v>96 Q</v>
      </c>
      <c r="D11" s="5">
        <f>IF(IF($E$4="MONTO",IF((IF(MOD($E$6,500)=0,$E$6,$E$6-MOD($E$6,500)))&gt;1000000,1000000,IF(MOD($E$6,500)=0,$E$6,$E$6-MOD($E$6,500))),IF(((1-(1+(F11/2))^(-A11))/((F11/2)))*$E$6&gt;1000000,1000000,IF(MOD(((1-(1+(F11/2))^(-A11))/(F11))*$E$6,500)=0,((1-(1+(F11/2))^(-A11))/((F11/2)))*$E$6,((1-(1+(F11/2))^(-A11))/((F11/2)))*$E$6-MOD(((1-(1+(F11/2))^(-A11))/((F11/2)))*$E$6,500))))&lt;5000,
0,
IF($E$4="MONTO",IF((IF(MOD($E$6,500)=0,$E$6,$E$6-MOD($E$6,500)))&gt;1000000,1000000,IF(MOD($E$6,500)=0,$E$6,$E$6-MOD($E$6,500))),IF(((1-(1+(F11/2))^(-A11))/((F11/2)))*$E$6&gt;1000000,1000000,IF(MOD(((1-(1+(F11/2))^(-A11))/(F11))*$E$6,500)=0,((1-(1+(F11/2))^(-A11))/((F11/2)))*$E$6,((1-(1+(F11/2))^(-A11))/((F11/2)))*$E$6-MOD(((1-(1+(F11/2))^(-A11))/((F11/2)))*$E$6,500)))))</f>
        <v>100000</v>
      </c>
      <c r="E11" s="5">
        <f>ROUND(-PMT(F11/2,A11,D11,,0),2)</f>
        <v>2374.9699999999998</v>
      </c>
      <c r="F11" s="7">
        <f>VLOOKUP(A11,$AQ$1:$AU$13,5,0)</f>
        <v>4.060000750837809E-2</v>
      </c>
      <c r="G11" s="7">
        <f t="shared" si="5"/>
        <v>3.5000006472739736E-2</v>
      </c>
      <c r="H11" s="7">
        <f t="shared" si="6"/>
        <v>2.6666066666666665E-2</v>
      </c>
      <c r="I11" s="5">
        <f t="shared" si="7"/>
        <v>100000</v>
      </c>
      <c r="J11" s="5">
        <f t="shared" si="8"/>
        <v>110342.34482758622</v>
      </c>
      <c r="K11" s="5">
        <f t="shared" si="9"/>
        <v>17654.775172413796</v>
      </c>
      <c r="L11" s="5">
        <f t="shared" si="10"/>
        <v>227997.12</v>
      </c>
      <c r="M11" s="12"/>
      <c r="N11" s="12"/>
      <c r="O11" s="12"/>
      <c r="P11" s="12"/>
      <c r="Q11" s="12"/>
      <c r="R11" s="12"/>
      <c r="AR11" s="3"/>
      <c r="AS11" s="3"/>
    </row>
    <row r="12" spans="1:49" s="1" customFormat="1" x14ac:dyDescent="0.25">
      <c r="A12" s="2"/>
      <c r="B12" s="12"/>
      <c r="C12" s="17" t="s">
        <v>7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AR12" s="3"/>
      <c r="AS12" s="3"/>
    </row>
    <row r="13" spans="1:49" s="1" customFormat="1" x14ac:dyDescent="0.25">
      <c r="A13" s="2"/>
      <c r="B13" s="12"/>
      <c r="C13" s="17" t="s">
        <v>20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AR13" s="3"/>
      <c r="AS13" s="3"/>
    </row>
    <row r="14" spans="1:49" s="1" customFormat="1" x14ac:dyDescent="0.25">
      <c r="A14" s="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AR14" s="3"/>
      <c r="AS14" s="3"/>
    </row>
    <row r="15" spans="1:49" s="1" customFormat="1" x14ac:dyDescent="0.25">
      <c r="A15" s="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AR15" s="3"/>
      <c r="AS15" s="3"/>
    </row>
    <row r="16" spans="1:49" s="1" customFormat="1" x14ac:dyDescent="0.25">
      <c r="A16" s="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AR16" s="3"/>
      <c r="AS16" s="3"/>
    </row>
    <row r="17" spans="1:45" s="1" customFormat="1" x14ac:dyDescent="0.25">
      <c r="A17" s="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AR17" s="3"/>
      <c r="AS17" s="3"/>
    </row>
    <row r="18" spans="1:45" s="1" customFormat="1" x14ac:dyDescent="0.25">
      <c r="A18" s="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AR18" s="3"/>
      <c r="AS18" s="3"/>
    </row>
    <row r="19" spans="1:45" s="1" customFormat="1" x14ac:dyDescent="0.25">
      <c r="A19" s="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AR19" s="3"/>
      <c r="AS19" s="3"/>
    </row>
    <row r="20" spans="1:45" s="1" customFormat="1" x14ac:dyDescent="0.25">
      <c r="A20" s="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AR20" s="3"/>
      <c r="AS20" s="3"/>
    </row>
    <row r="21" spans="1:45" s="1" customFormat="1" x14ac:dyDescent="0.25">
      <c r="A21" s="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AR21" s="3"/>
      <c r="AS21" s="3"/>
    </row>
    <row r="22" spans="1:45" x14ac:dyDescent="0.25">
      <c r="A22" s="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</row>
    <row r="23" spans="1:45" x14ac:dyDescent="0.25">
      <c r="A23" s="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</row>
    <row r="24" spans="1:45" x14ac:dyDescent="0.25">
      <c r="A24" s="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</row>
    <row r="25" spans="1:45" x14ac:dyDescent="0.25">
      <c r="A25" s="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</row>
    <row r="26" spans="1:45" x14ac:dyDescent="0.25">
      <c r="A26" s="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</row>
    <row r="27" spans="1:45" x14ac:dyDescent="0.25">
      <c r="A27" s="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</row>
  </sheetData>
  <sheetProtection algorithmName="SHA-512" hashValue="1u/AsMt5Cf5vKFtQJCetk08fvHNEYZxu7X7IAeCVNqslat9gym+VqjTyIc6W0nifejGgKw+TLYavBnpURYbDSA==" saltValue="OZWwCngztR7CCmo3IQqqIw==" spinCount="100000" sheet="1" objects="1" scenarios="1" selectLockedCells="1"/>
  <mergeCells count="6">
    <mergeCell ref="C2:D2"/>
    <mergeCell ref="E2:G2"/>
    <mergeCell ref="C3:D3"/>
    <mergeCell ref="C4:D4"/>
    <mergeCell ref="G4:J7"/>
    <mergeCell ref="C6:D6"/>
  </mergeCells>
  <dataValidations count="2">
    <dataValidation type="custom" allowBlank="1" showInputMessage="1" showErrorMessage="1" sqref="E6">
      <formula1>E6&gt;=0</formula1>
    </dataValidation>
    <dataValidation type="list" allowBlank="1" showInputMessage="1" showErrorMessage="1" sqref="E4">
      <formula1>"Monto, Capacidad"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27"/>
  <sheetViews>
    <sheetView showGridLines="0" topLeftCell="B1" zoomScale="150" zoomScaleNormal="150" workbookViewId="0">
      <selection activeCell="E4" sqref="E4"/>
    </sheetView>
  </sheetViews>
  <sheetFormatPr baseColWidth="10" defaultColWidth="11.42578125" defaultRowHeight="15" x14ac:dyDescent="0.25"/>
  <cols>
    <col min="1" max="1" width="6.5703125" hidden="1" customWidth="1"/>
    <col min="2" max="2" width="4.42578125" customWidth="1"/>
    <col min="4" max="4" width="14.42578125" bestFit="1" customWidth="1"/>
    <col min="5" max="5" width="14.140625" bestFit="1" customWidth="1"/>
    <col min="6" max="6" width="13.5703125" bestFit="1" customWidth="1"/>
    <col min="7" max="7" width="10.28515625" bestFit="1" customWidth="1"/>
    <col min="8" max="8" width="14.42578125" bestFit="1" customWidth="1"/>
    <col min="9" max="12" width="14.85546875" customWidth="1"/>
    <col min="15" max="15" width="8.5703125" bestFit="1" customWidth="1"/>
    <col min="16" max="16" width="11.42578125" bestFit="1" customWidth="1"/>
    <col min="17" max="17" width="17.140625" bestFit="1" customWidth="1"/>
    <col min="18" max="18" width="16.5703125" bestFit="1" customWidth="1"/>
    <col min="19" max="19" width="14.5703125" bestFit="1" customWidth="1"/>
    <col min="20" max="20" width="12.5703125" bestFit="1" customWidth="1"/>
    <col min="21" max="21" width="12.140625" bestFit="1" customWidth="1"/>
    <col min="43" max="43" width="8.5703125" bestFit="1" customWidth="1"/>
    <col min="44" max="44" width="15.28515625" style="11" bestFit="1" customWidth="1"/>
    <col min="45" max="45" width="17.140625" style="11" bestFit="1" customWidth="1"/>
    <col min="46" max="46" width="16.5703125" bestFit="1" customWidth="1"/>
    <col min="47" max="47" width="14.5703125" bestFit="1" customWidth="1"/>
    <col min="48" max="48" width="12.5703125" bestFit="1" customWidth="1"/>
    <col min="49" max="49" width="12.140625" bestFit="1" customWidth="1"/>
  </cols>
  <sheetData>
    <row r="1" spans="1:49" s="1" customFormat="1" x14ac:dyDescent="0.25">
      <c r="A1" s="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AQ1" s="1" t="s">
        <v>12</v>
      </c>
      <c r="AR1" s="1" t="s">
        <v>13</v>
      </c>
      <c r="AS1" s="1" t="s">
        <v>14</v>
      </c>
      <c r="AT1" s="1" t="s">
        <v>16</v>
      </c>
      <c r="AU1" s="1" t="s">
        <v>15</v>
      </c>
      <c r="AV1" s="1" t="s">
        <v>17</v>
      </c>
      <c r="AW1" s="1" t="s">
        <v>18</v>
      </c>
    </row>
    <row r="2" spans="1:49" s="1" customFormat="1" x14ac:dyDescent="0.25">
      <c r="A2" s="2"/>
      <c r="B2" s="12"/>
      <c r="C2" s="21" t="s">
        <v>0</v>
      </c>
      <c r="D2" s="21"/>
      <c r="E2" s="22" t="s">
        <v>24</v>
      </c>
      <c r="F2" s="22"/>
      <c r="G2" s="2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8"/>
      <c r="T2" s="8"/>
      <c r="U2" s="8"/>
      <c r="AQ2" s="1">
        <v>72</v>
      </c>
      <c r="AR2" s="3">
        <v>1000000</v>
      </c>
      <c r="AS2" s="3">
        <v>26207.49</v>
      </c>
      <c r="AT2" s="6">
        <f t="shared" ref="AT2:AT7" si="0">RATE(AQ2,-AS2,AR2,0,0)</f>
        <v>1.9835998464207322E-2</v>
      </c>
      <c r="AU2" s="6">
        <f>AT2*2</f>
        <v>3.9671996928414645E-2</v>
      </c>
      <c r="AV2" s="6">
        <f>AU2/1.16</f>
        <v>3.4199997352081596E-2</v>
      </c>
      <c r="AW2" s="6">
        <f>AV2*12</f>
        <v>0.41039996822497915</v>
      </c>
    </row>
    <row r="3" spans="1:49" s="1" customFormat="1" x14ac:dyDescent="0.25">
      <c r="A3" s="2"/>
      <c r="B3" s="12"/>
      <c r="C3" s="21" t="s">
        <v>1</v>
      </c>
      <c r="D3" s="21"/>
      <c r="E3" s="20" t="s">
        <v>2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8"/>
      <c r="T3" s="8"/>
      <c r="U3" s="8"/>
      <c r="AQ3" s="1">
        <v>96</v>
      </c>
      <c r="AR3" s="3">
        <v>1000000</v>
      </c>
      <c r="AS3" s="3">
        <v>23384.22</v>
      </c>
      <c r="AT3" s="6">
        <f t="shared" si="0"/>
        <v>1.9836001697871603E-2</v>
      </c>
      <c r="AU3" s="6">
        <f t="shared" ref="AU3:AU7" si="1">AT3*2</f>
        <v>3.9672003395743206E-2</v>
      </c>
      <c r="AV3" s="6">
        <f t="shared" ref="AV3:AV7" si="2">AU3/1.16</f>
        <v>3.4200002927364838E-2</v>
      </c>
      <c r="AW3" s="6">
        <f t="shared" ref="AW3:AW7" si="3">AV3*12</f>
        <v>0.41040003512837808</v>
      </c>
    </row>
    <row r="4" spans="1:49" s="1" customFormat="1" ht="15" customHeight="1" x14ac:dyDescent="0.25">
      <c r="A4" s="2"/>
      <c r="B4" s="12"/>
      <c r="C4" s="21" t="s">
        <v>8</v>
      </c>
      <c r="D4" s="21"/>
      <c r="E4" s="9" t="s">
        <v>23</v>
      </c>
      <c r="F4" s="12"/>
      <c r="G4" s="23" t="s">
        <v>27</v>
      </c>
      <c r="H4" s="23"/>
      <c r="I4" s="23"/>
      <c r="J4" s="23"/>
      <c r="K4" s="12"/>
      <c r="L4" s="12"/>
      <c r="M4" s="12"/>
      <c r="N4" s="12"/>
      <c r="O4" s="12"/>
      <c r="P4" s="12"/>
      <c r="Q4" s="12"/>
      <c r="R4" s="12"/>
      <c r="S4" s="8"/>
      <c r="T4" s="8"/>
      <c r="U4" s="8"/>
      <c r="AR4" s="3"/>
      <c r="AS4" s="3"/>
      <c r="AT4" s="6"/>
      <c r="AU4" s="6"/>
      <c r="AV4" s="6"/>
      <c r="AW4" s="6"/>
    </row>
    <row r="5" spans="1:49" s="1" customFormat="1" x14ac:dyDescent="0.25">
      <c r="A5" s="2"/>
      <c r="B5" s="12"/>
      <c r="C5" s="12"/>
      <c r="D5" s="12"/>
      <c r="E5" s="12"/>
      <c r="F5" s="12"/>
      <c r="G5" s="23"/>
      <c r="H5" s="23"/>
      <c r="I5" s="23"/>
      <c r="J5" s="23"/>
      <c r="K5" s="12"/>
      <c r="L5" s="12"/>
      <c r="M5" s="12"/>
      <c r="N5" s="12"/>
      <c r="O5" s="12"/>
      <c r="P5" s="12"/>
      <c r="Q5" s="12"/>
      <c r="R5" s="12"/>
      <c r="S5" s="8"/>
      <c r="T5" s="8"/>
      <c r="U5" s="8"/>
      <c r="AR5" s="3"/>
      <c r="AS5" s="3"/>
      <c r="AT5" s="6"/>
      <c r="AU5" s="6"/>
      <c r="AV5" s="6"/>
      <c r="AW5" s="6"/>
    </row>
    <row r="6" spans="1:49" s="1" customFormat="1" x14ac:dyDescent="0.25">
      <c r="A6" s="2"/>
      <c r="B6" s="12"/>
      <c r="C6" s="21" t="str">
        <f>IF(E4="MONTO","Ingrese el Monto:","Ingrese la capacidad:")</f>
        <v>Ingrese el Monto:</v>
      </c>
      <c r="D6" s="21"/>
      <c r="E6" s="10">
        <v>100000</v>
      </c>
      <c r="F6" s="12"/>
      <c r="G6" s="23"/>
      <c r="H6" s="23"/>
      <c r="I6" s="23"/>
      <c r="J6" s="23"/>
      <c r="K6" s="16"/>
      <c r="L6" s="12"/>
      <c r="M6" s="12"/>
      <c r="N6" s="12"/>
      <c r="O6" s="12"/>
      <c r="P6" s="12"/>
      <c r="Q6" s="12"/>
      <c r="R6" s="12"/>
      <c r="AR6" s="3"/>
      <c r="AS6" s="3"/>
      <c r="AT6" s="6"/>
      <c r="AU6" s="6"/>
      <c r="AV6" s="6"/>
      <c r="AW6" s="6"/>
    </row>
    <row r="7" spans="1:49" s="1" customFormat="1" x14ac:dyDescent="0.25">
      <c r="A7" s="2"/>
      <c r="B7" s="12"/>
      <c r="C7" s="12"/>
      <c r="D7" s="12"/>
      <c r="E7" s="12"/>
      <c r="F7" s="13"/>
      <c r="G7" s="23"/>
      <c r="H7" s="23"/>
      <c r="I7" s="23"/>
      <c r="J7" s="23"/>
      <c r="K7" s="12"/>
      <c r="L7" s="12"/>
      <c r="M7" s="12"/>
      <c r="N7" s="12"/>
      <c r="O7" s="12"/>
      <c r="P7" s="12"/>
      <c r="Q7" s="12"/>
      <c r="R7" s="12"/>
      <c r="AR7" s="3"/>
      <c r="AS7" s="3"/>
      <c r="AT7" s="6"/>
      <c r="AU7" s="6"/>
      <c r="AV7" s="6"/>
      <c r="AW7" s="6"/>
    </row>
    <row r="8" spans="1:49" s="1" customFormat="1" x14ac:dyDescent="0.25">
      <c r="A8" s="2"/>
      <c r="B8" s="12"/>
      <c r="C8" s="12"/>
      <c r="D8" s="12"/>
      <c r="E8" s="12"/>
      <c r="F8" s="13"/>
      <c r="G8" s="13"/>
      <c r="H8" s="14"/>
      <c r="I8" s="15"/>
      <c r="J8" s="12"/>
      <c r="K8" s="12"/>
      <c r="L8" s="12"/>
      <c r="M8" s="12"/>
      <c r="N8" s="12"/>
      <c r="O8" s="12"/>
      <c r="P8" s="12"/>
      <c r="Q8" s="12"/>
      <c r="R8" s="12"/>
      <c r="AR8" s="3"/>
      <c r="AS8" s="3"/>
      <c r="AT8" s="6"/>
      <c r="AU8" s="6"/>
      <c r="AV8" s="6"/>
      <c r="AW8" s="6"/>
    </row>
    <row r="9" spans="1:49" s="1" customFormat="1" x14ac:dyDescent="0.25">
      <c r="A9" s="2"/>
      <c r="B9" s="12"/>
      <c r="C9" s="18" t="s">
        <v>3</v>
      </c>
      <c r="D9" s="18" t="s">
        <v>4</v>
      </c>
      <c r="E9" s="18" t="s">
        <v>19</v>
      </c>
      <c r="F9" s="18" t="s">
        <v>22</v>
      </c>
      <c r="G9" s="18" t="s">
        <v>21</v>
      </c>
      <c r="H9" s="18" t="s">
        <v>9</v>
      </c>
      <c r="I9" s="18" t="s">
        <v>6</v>
      </c>
      <c r="J9" s="18" t="s">
        <v>10</v>
      </c>
      <c r="K9" s="18" t="s">
        <v>11</v>
      </c>
      <c r="L9" s="18" t="s">
        <v>5</v>
      </c>
      <c r="M9" s="12"/>
      <c r="N9" s="12"/>
      <c r="O9" s="12"/>
      <c r="P9" s="12"/>
      <c r="Q9" s="12"/>
      <c r="R9" s="12"/>
      <c r="AR9" s="3"/>
      <c r="AS9" s="3"/>
      <c r="AT9" s="6"/>
      <c r="AU9" s="6"/>
      <c r="AV9" s="6"/>
      <c r="AW9" s="6"/>
    </row>
    <row r="10" spans="1:49" s="1" customFormat="1" x14ac:dyDescent="0.25">
      <c r="A10" s="2">
        <v>72</v>
      </c>
      <c r="B10" s="12"/>
      <c r="C10" s="4" t="str">
        <f t="shared" ref="C10" si="4">CONCATENATE(A10," Q")</f>
        <v>72 Q</v>
      </c>
      <c r="D10" s="5">
        <f>IF(IF($E$4="MONTO",IF((IF(MOD($E$6,500)=0,$E$6,$E$6-MOD($E$6,500)))&gt;1000000,1000000,IF(MOD($E$6,500)=0,$E$6,$E$6-MOD($E$6,500))),IF(((1-(1+(F10/2))^(-A10))/((F10/2)))*$E$6&gt;1000000,1000000,IF(MOD(((1-(1+(F10/2))^(-A10))/(F10))*$E$6,500)=0,((1-(1+(F10/2))^(-A10))/((F10/2)))*$E$6,((1-(1+(F10/2))^(-A10))/((F10/2)))*$E$6-MOD(((1-(1+(F10/2))^(-A10))/((F10/2)))*$E$6,500))))&lt;5000,
0,
IF($E$4="MONTO",IF((IF(MOD($E$6,500)=0,$E$6,$E$6-MOD($E$6,500)))&gt;1000000,1000000,IF(MOD($E$6,500)=0,$E$6,$E$6-MOD($E$6,500))),IF(((1-(1+(F10/2))^(-A10))/((F10/2)))*$E$6&gt;1000000,1000000,IF(MOD(((1-(1+(F10/2))^(-A10))/(F10))*$E$6,500)=0,((1-(1+(F10/2))^(-A10))/((F10/2)))*$E$6,((1-(1+(F10/2))^(-A10))/((F10/2)))*$E$6-MOD(((1-(1+(F10/2))^(-A10))/((F10/2)))*$E$6,500)))))</f>
        <v>100000</v>
      </c>
      <c r="E10" s="5">
        <f>ROUND(-PMT(F10/2,A10,D10,,0),2)</f>
        <v>2620.75</v>
      </c>
      <c r="F10" s="7">
        <f>VLOOKUP(A10,$AQ$1:$AU$13,5,0)</f>
        <v>3.9671996928414645E-2</v>
      </c>
      <c r="G10" s="7">
        <f t="shared" ref="G10:G11" si="5">F10/1.16</f>
        <v>3.4199997352081596E-2</v>
      </c>
      <c r="H10" s="7">
        <f t="shared" ref="H10:H11" si="6">IFERROR(((L10-I10)/I10)/(A10/2),0)</f>
        <v>2.463722222222222E-2</v>
      </c>
      <c r="I10" s="5">
        <f t="shared" ref="I10:I11" si="7">D10</f>
        <v>100000</v>
      </c>
      <c r="J10" s="5">
        <f t="shared" ref="J10:J11" si="8">(L10-I10)/1.16</f>
        <v>76460.344827586217</v>
      </c>
      <c r="K10" s="5">
        <f t="shared" ref="K10:K11" si="9">J10*16%</f>
        <v>12233.655172413795</v>
      </c>
      <c r="L10" s="5">
        <f t="shared" ref="L10:L11" si="10">E10*A10</f>
        <v>188694</v>
      </c>
      <c r="M10" s="12"/>
      <c r="N10" s="12"/>
      <c r="O10" s="12"/>
      <c r="P10" s="12"/>
      <c r="Q10" s="12"/>
      <c r="R10" s="12"/>
      <c r="AR10" s="3"/>
      <c r="AS10" s="3"/>
    </row>
    <row r="11" spans="1:49" s="1" customFormat="1" x14ac:dyDescent="0.25">
      <c r="A11" s="2">
        <v>96</v>
      </c>
      <c r="B11" s="12"/>
      <c r="C11" s="4" t="str">
        <f>CONCATENATE(A11," Q")</f>
        <v>96 Q</v>
      </c>
      <c r="D11" s="5">
        <f>IF(IF($E$4="MONTO",IF((IF(MOD($E$6,500)=0,$E$6,$E$6-MOD($E$6,500)))&gt;1000000,1000000,IF(MOD($E$6,500)=0,$E$6,$E$6-MOD($E$6,500))),IF(((1-(1+(F11/2))^(-A11))/((F11/2)))*$E$6&gt;1000000,1000000,IF(MOD(((1-(1+(F11/2))^(-A11))/(F11))*$E$6,500)=0,((1-(1+(F11/2))^(-A11))/((F11/2)))*$E$6,((1-(1+(F11/2))^(-A11))/((F11/2)))*$E$6-MOD(((1-(1+(F11/2))^(-A11))/((F11/2)))*$E$6,500))))&lt;5000,
0,
IF($E$4="MONTO",IF((IF(MOD($E$6,500)=0,$E$6,$E$6-MOD($E$6,500)))&gt;1000000,1000000,IF(MOD($E$6,500)=0,$E$6,$E$6-MOD($E$6,500))),IF(((1-(1+(F11/2))^(-A11))/((F11/2)))*$E$6&gt;1000000,1000000,IF(MOD(((1-(1+(F11/2))^(-A11))/(F11))*$E$6,500)=0,((1-(1+(F11/2))^(-A11))/((F11/2)))*$E$6,((1-(1+(F11/2))^(-A11))/((F11/2)))*$E$6-MOD(((1-(1+(F11/2))^(-A11))/((F11/2)))*$E$6,500)))))</f>
        <v>100000</v>
      </c>
      <c r="E11" s="5">
        <f>ROUND(-PMT(F11/2,A11,D11,,0),2)</f>
        <v>2338.42</v>
      </c>
      <c r="F11" s="7">
        <f>VLOOKUP(A11,$AQ$1:$AU$13,5,0)</f>
        <v>3.9672003395743206E-2</v>
      </c>
      <c r="G11" s="7">
        <f t="shared" si="5"/>
        <v>3.4200002927364838E-2</v>
      </c>
      <c r="H11" s="7">
        <f t="shared" si="6"/>
        <v>2.5935066666666669E-2</v>
      </c>
      <c r="I11" s="5">
        <f t="shared" si="7"/>
        <v>100000</v>
      </c>
      <c r="J11" s="5">
        <f t="shared" si="8"/>
        <v>107317.51724137932</v>
      </c>
      <c r="K11" s="5">
        <f t="shared" si="9"/>
        <v>17170.802758620692</v>
      </c>
      <c r="L11" s="5">
        <f t="shared" si="10"/>
        <v>224488.32000000001</v>
      </c>
      <c r="M11" s="12"/>
      <c r="N11" s="12"/>
      <c r="O11" s="12"/>
      <c r="P11" s="12"/>
      <c r="Q11" s="12"/>
      <c r="R11" s="12"/>
      <c r="AR11" s="3"/>
      <c r="AS11" s="3"/>
    </row>
    <row r="12" spans="1:49" s="1" customFormat="1" x14ac:dyDescent="0.25">
      <c r="A12" s="2"/>
      <c r="B12" s="12"/>
      <c r="C12" s="17" t="s">
        <v>7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AR12" s="3"/>
      <c r="AS12" s="3"/>
    </row>
    <row r="13" spans="1:49" s="1" customFormat="1" x14ac:dyDescent="0.25">
      <c r="A13" s="2"/>
      <c r="B13" s="12"/>
      <c r="C13" s="17" t="s">
        <v>20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AR13" s="3"/>
      <c r="AS13" s="3"/>
    </row>
    <row r="14" spans="1:49" s="1" customFormat="1" x14ac:dyDescent="0.25">
      <c r="A14" s="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AR14" s="3"/>
      <c r="AS14" s="3"/>
    </row>
    <row r="15" spans="1:49" s="1" customFormat="1" x14ac:dyDescent="0.25">
      <c r="A15" s="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AR15" s="3"/>
      <c r="AS15" s="3"/>
    </row>
    <row r="16" spans="1:49" s="1" customFormat="1" x14ac:dyDescent="0.25">
      <c r="A16" s="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AR16" s="3"/>
      <c r="AS16" s="3"/>
    </row>
    <row r="17" spans="1:45" s="1" customFormat="1" x14ac:dyDescent="0.25">
      <c r="A17" s="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AR17" s="3"/>
      <c r="AS17" s="3"/>
    </row>
    <row r="18" spans="1:45" s="1" customFormat="1" x14ac:dyDescent="0.25">
      <c r="A18" s="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AR18" s="3"/>
      <c r="AS18" s="3"/>
    </row>
    <row r="19" spans="1:45" s="1" customFormat="1" x14ac:dyDescent="0.25">
      <c r="A19" s="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AR19" s="3"/>
      <c r="AS19" s="3"/>
    </row>
    <row r="20" spans="1:45" s="1" customFormat="1" x14ac:dyDescent="0.25">
      <c r="A20" s="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AR20" s="3"/>
      <c r="AS20" s="3"/>
    </row>
    <row r="21" spans="1:45" s="1" customFormat="1" x14ac:dyDescent="0.25">
      <c r="A21" s="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AR21" s="3"/>
      <c r="AS21" s="3"/>
    </row>
    <row r="22" spans="1:45" x14ac:dyDescent="0.25">
      <c r="A22" s="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</row>
    <row r="23" spans="1:45" x14ac:dyDescent="0.25">
      <c r="A23" s="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</row>
    <row r="24" spans="1:45" x14ac:dyDescent="0.25">
      <c r="A24" s="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</row>
    <row r="25" spans="1:45" x14ac:dyDescent="0.25">
      <c r="A25" s="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</row>
    <row r="26" spans="1:45" x14ac:dyDescent="0.25">
      <c r="A26" s="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</row>
    <row r="27" spans="1:45" x14ac:dyDescent="0.25">
      <c r="A27" s="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</row>
  </sheetData>
  <sheetProtection algorithmName="SHA-512" hashValue="sBsZ7oPsWL/MTpissr/x1pzrOHib7CpP7AsWKjFgpL9ZVF1P6qPfsOaidLpG0zQkpkVlEaoaPAn4qUZbgmavmw==" saltValue="Rb6qb/PI7lQuv//PZ9z4XA==" spinCount="100000" sheet="1" objects="1" scenarios="1" selectLockedCells="1"/>
  <mergeCells count="6">
    <mergeCell ref="C2:D2"/>
    <mergeCell ref="E2:G2"/>
    <mergeCell ref="C3:D3"/>
    <mergeCell ref="C4:D4"/>
    <mergeCell ref="G4:J7"/>
    <mergeCell ref="C6:D6"/>
  </mergeCells>
  <dataValidations count="2">
    <dataValidation type="list" allowBlank="1" showInputMessage="1" showErrorMessage="1" sqref="E4">
      <formula1>"Monto, Capacidad"</formula1>
    </dataValidation>
    <dataValidation type="custom" allowBlank="1" showInputMessage="1" showErrorMessage="1" sqref="E6">
      <formula1>E6&gt;=0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27"/>
  <sheetViews>
    <sheetView showGridLines="0" topLeftCell="B1" zoomScale="150" zoomScaleNormal="150" workbookViewId="0">
      <selection activeCell="E6" sqref="E6"/>
    </sheetView>
  </sheetViews>
  <sheetFormatPr baseColWidth="10" defaultColWidth="11.42578125" defaultRowHeight="15" x14ac:dyDescent="0.25"/>
  <cols>
    <col min="1" max="1" width="6.5703125" hidden="1" customWidth="1"/>
    <col min="2" max="2" width="4.42578125" customWidth="1"/>
    <col min="4" max="4" width="14.42578125" bestFit="1" customWidth="1"/>
    <col min="5" max="5" width="14.140625" bestFit="1" customWidth="1"/>
    <col min="6" max="6" width="13.5703125" bestFit="1" customWidth="1"/>
    <col min="7" max="7" width="10.28515625" bestFit="1" customWidth="1"/>
    <col min="8" max="8" width="14.42578125" bestFit="1" customWidth="1"/>
    <col min="9" max="12" width="14.85546875" customWidth="1"/>
    <col min="15" max="15" width="8.5703125" bestFit="1" customWidth="1"/>
    <col min="16" max="16" width="11.42578125" bestFit="1" customWidth="1"/>
    <col min="17" max="17" width="17.140625" bestFit="1" customWidth="1"/>
    <col min="18" max="18" width="16.5703125" bestFit="1" customWidth="1"/>
    <col min="19" max="19" width="14.5703125" bestFit="1" customWidth="1"/>
    <col min="20" max="20" width="12.5703125" bestFit="1" customWidth="1"/>
    <col min="21" max="21" width="12.140625" bestFit="1" customWidth="1"/>
    <col min="43" max="43" width="8.5703125" bestFit="1" customWidth="1"/>
    <col min="44" max="44" width="15.28515625" style="11" bestFit="1" customWidth="1"/>
    <col min="45" max="45" width="17.140625" style="11" bestFit="1" customWidth="1"/>
    <col min="46" max="46" width="16.5703125" bestFit="1" customWidth="1"/>
    <col min="47" max="47" width="14.5703125" bestFit="1" customWidth="1"/>
    <col min="48" max="48" width="12.5703125" bestFit="1" customWidth="1"/>
    <col min="49" max="49" width="12.140625" bestFit="1" customWidth="1"/>
  </cols>
  <sheetData>
    <row r="1" spans="1:49" s="1" customFormat="1" x14ac:dyDescent="0.25">
      <c r="A1" s="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AQ1" s="1" t="s">
        <v>12</v>
      </c>
      <c r="AR1" s="1" t="s">
        <v>13</v>
      </c>
      <c r="AS1" s="1" t="s">
        <v>14</v>
      </c>
      <c r="AT1" s="1" t="s">
        <v>16</v>
      </c>
      <c r="AU1" s="1" t="s">
        <v>15</v>
      </c>
      <c r="AV1" s="1" t="s">
        <v>17</v>
      </c>
      <c r="AW1" s="1" t="s">
        <v>18</v>
      </c>
    </row>
    <row r="2" spans="1:49" s="1" customFormat="1" x14ac:dyDescent="0.25">
      <c r="A2" s="2"/>
      <c r="B2" s="12"/>
      <c r="C2" s="21" t="s">
        <v>0</v>
      </c>
      <c r="D2" s="21"/>
      <c r="E2" s="22" t="s">
        <v>24</v>
      </c>
      <c r="F2" s="22"/>
      <c r="G2" s="2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8"/>
      <c r="T2" s="8"/>
      <c r="U2" s="8"/>
      <c r="AQ2" s="1">
        <v>72</v>
      </c>
      <c r="AR2" s="3">
        <v>1000000</v>
      </c>
      <c r="AS2" s="3">
        <v>25955.11</v>
      </c>
      <c r="AT2" s="6">
        <f t="shared" ref="AT2:AT7" si="0">RATE(AQ2,-AS2,AR2,0,0)</f>
        <v>1.948799689861765E-2</v>
      </c>
      <c r="AU2" s="6">
        <f>AT2*2</f>
        <v>3.8975993797235299E-2</v>
      </c>
      <c r="AV2" s="6">
        <f>AU2/1.16</f>
        <v>3.3599994652789053E-2</v>
      </c>
      <c r="AW2" s="6">
        <f>AV2*12</f>
        <v>0.40319993583346864</v>
      </c>
    </row>
    <row r="3" spans="1:49" s="1" customFormat="1" x14ac:dyDescent="0.25">
      <c r="A3" s="2"/>
      <c r="B3" s="12"/>
      <c r="C3" s="21" t="s">
        <v>1</v>
      </c>
      <c r="D3" s="21"/>
      <c r="E3" s="20" t="s">
        <v>2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8"/>
      <c r="T3" s="8"/>
      <c r="U3" s="8"/>
      <c r="AQ3" s="1">
        <v>96</v>
      </c>
      <c r="AR3" s="3">
        <v>1000000</v>
      </c>
      <c r="AS3" s="3">
        <v>22840.46</v>
      </c>
      <c r="AT3" s="6">
        <f t="shared" si="0"/>
        <v>1.9140002920175307E-2</v>
      </c>
      <c r="AU3" s="6">
        <f t="shared" ref="AU3:AU7" si="1">AT3*2</f>
        <v>3.8280005840350614E-2</v>
      </c>
      <c r="AV3" s="6">
        <f t="shared" ref="AV3:AV7" si="2">AU3/1.16</f>
        <v>3.3000005034785014E-2</v>
      </c>
      <c r="AW3" s="6">
        <f t="shared" ref="AW3:AW7" si="3">AV3*12</f>
        <v>0.3960000604174202</v>
      </c>
    </row>
    <row r="4" spans="1:49" s="1" customFormat="1" ht="15" customHeight="1" x14ac:dyDescent="0.25">
      <c r="A4" s="2"/>
      <c r="B4" s="12"/>
      <c r="C4" s="21" t="s">
        <v>8</v>
      </c>
      <c r="D4" s="21"/>
      <c r="E4" s="9" t="s">
        <v>23</v>
      </c>
      <c r="F4" s="12"/>
      <c r="G4" s="23" t="s">
        <v>26</v>
      </c>
      <c r="H4" s="23"/>
      <c r="I4" s="23"/>
      <c r="J4" s="23"/>
      <c r="K4" s="12"/>
      <c r="L4" s="12"/>
      <c r="M4" s="12"/>
      <c r="N4" s="12"/>
      <c r="O4" s="12"/>
      <c r="P4" s="12"/>
      <c r="Q4" s="12"/>
      <c r="R4" s="12"/>
      <c r="S4" s="8"/>
      <c r="T4" s="8"/>
      <c r="U4" s="8"/>
      <c r="AR4" s="3"/>
      <c r="AS4" s="3"/>
      <c r="AT4" s="6"/>
      <c r="AU4" s="6"/>
      <c r="AV4" s="6"/>
      <c r="AW4" s="6"/>
    </row>
    <row r="5" spans="1:49" s="1" customFormat="1" x14ac:dyDescent="0.25">
      <c r="A5" s="2"/>
      <c r="B5" s="12"/>
      <c r="C5" s="12"/>
      <c r="D5" s="12"/>
      <c r="E5" s="12"/>
      <c r="F5" s="12"/>
      <c r="G5" s="23"/>
      <c r="H5" s="23"/>
      <c r="I5" s="23"/>
      <c r="J5" s="23"/>
      <c r="K5" s="12"/>
      <c r="L5" s="12"/>
      <c r="M5" s="12"/>
      <c r="N5" s="12"/>
      <c r="O5" s="12"/>
      <c r="P5" s="12"/>
      <c r="Q5" s="12"/>
      <c r="R5" s="12"/>
      <c r="S5" s="8"/>
      <c r="T5" s="8"/>
      <c r="U5" s="8"/>
      <c r="AR5" s="3"/>
      <c r="AS5" s="3"/>
      <c r="AT5" s="6"/>
      <c r="AU5" s="6"/>
      <c r="AV5" s="6"/>
      <c r="AW5" s="6"/>
    </row>
    <row r="6" spans="1:49" s="1" customFormat="1" x14ac:dyDescent="0.25">
      <c r="A6" s="2"/>
      <c r="B6" s="12"/>
      <c r="C6" s="21" t="str">
        <f>IF(E4="MONTO","Ingrese el Monto:","Ingrese la capacidad:")</f>
        <v>Ingrese el Monto:</v>
      </c>
      <c r="D6" s="21"/>
      <c r="E6" s="10">
        <v>100000</v>
      </c>
      <c r="F6" s="12"/>
      <c r="G6" s="23"/>
      <c r="H6" s="23"/>
      <c r="I6" s="23"/>
      <c r="J6" s="23"/>
      <c r="K6" s="16"/>
      <c r="L6" s="12"/>
      <c r="M6" s="12"/>
      <c r="N6" s="12"/>
      <c r="O6" s="12"/>
      <c r="P6" s="12"/>
      <c r="Q6" s="12"/>
      <c r="R6" s="12"/>
      <c r="AR6" s="3"/>
      <c r="AS6" s="3"/>
      <c r="AT6" s="6"/>
      <c r="AU6" s="6"/>
      <c r="AV6" s="6"/>
      <c r="AW6" s="6"/>
    </row>
    <row r="7" spans="1:49" s="1" customFormat="1" x14ac:dyDescent="0.25">
      <c r="A7" s="2"/>
      <c r="B7" s="12"/>
      <c r="C7" s="12"/>
      <c r="D7" s="12"/>
      <c r="E7" s="12"/>
      <c r="F7" s="13"/>
      <c r="G7" s="23"/>
      <c r="H7" s="23"/>
      <c r="I7" s="23"/>
      <c r="J7" s="23"/>
      <c r="K7" s="12"/>
      <c r="L7" s="12"/>
      <c r="M7" s="12"/>
      <c r="N7" s="12"/>
      <c r="O7" s="12"/>
      <c r="P7" s="12"/>
      <c r="Q7" s="12"/>
      <c r="R7" s="12"/>
      <c r="AR7" s="3"/>
      <c r="AS7" s="3"/>
      <c r="AT7" s="6"/>
      <c r="AU7" s="6"/>
      <c r="AV7" s="6"/>
      <c r="AW7" s="6"/>
    </row>
    <row r="8" spans="1:49" s="1" customFormat="1" x14ac:dyDescent="0.25">
      <c r="A8" s="2"/>
      <c r="B8" s="12"/>
      <c r="C8" s="12"/>
      <c r="D8" s="12"/>
      <c r="E8" s="12"/>
      <c r="F8" s="13"/>
      <c r="G8" s="13"/>
      <c r="H8" s="14"/>
      <c r="I8" s="15"/>
      <c r="J8" s="12"/>
      <c r="K8" s="12"/>
      <c r="L8" s="12"/>
      <c r="M8" s="12"/>
      <c r="N8" s="12"/>
      <c r="O8" s="12"/>
      <c r="P8" s="12"/>
      <c r="Q8" s="12"/>
      <c r="R8" s="12"/>
      <c r="AR8" s="3"/>
      <c r="AS8" s="3"/>
      <c r="AT8" s="6"/>
      <c r="AU8" s="6"/>
      <c r="AV8" s="6"/>
      <c r="AW8" s="6"/>
    </row>
    <row r="9" spans="1:49" s="1" customFormat="1" x14ac:dyDescent="0.25">
      <c r="A9" s="2"/>
      <c r="B9" s="12"/>
      <c r="C9" s="18" t="s">
        <v>3</v>
      </c>
      <c r="D9" s="18" t="s">
        <v>4</v>
      </c>
      <c r="E9" s="18" t="s">
        <v>19</v>
      </c>
      <c r="F9" s="18" t="s">
        <v>22</v>
      </c>
      <c r="G9" s="18" t="s">
        <v>21</v>
      </c>
      <c r="H9" s="18" t="s">
        <v>9</v>
      </c>
      <c r="I9" s="18" t="s">
        <v>6</v>
      </c>
      <c r="J9" s="18" t="s">
        <v>10</v>
      </c>
      <c r="K9" s="18" t="s">
        <v>11</v>
      </c>
      <c r="L9" s="18" t="s">
        <v>5</v>
      </c>
      <c r="M9" s="12"/>
      <c r="N9" s="12"/>
      <c r="O9" s="12"/>
      <c r="P9" s="12"/>
      <c r="Q9" s="12"/>
      <c r="R9" s="12"/>
      <c r="AR9" s="3"/>
      <c r="AS9" s="3"/>
      <c r="AT9" s="6"/>
      <c r="AU9" s="6"/>
      <c r="AV9" s="6"/>
      <c r="AW9" s="6"/>
    </row>
    <row r="10" spans="1:49" s="1" customFormat="1" x14ac:dyDescent="0.25">
      <c r="A10" s="2">
        <v>72</v>
      </c>
      <c r="B10" s="12"/>
      <c r="C10" s="4" t="str">
        <f t="shared" ref="C10" si="4">CONCATENATE(A10," Q")</f>
        <v>72 Q</v>
      </c>
      <c r="D10" s="5">
        <f>IF(IF($E$4="MONTO",IF((IF(MOD($E$6,500)=0,$E$6,$E$6-MOD($E$6,500)))&gt;1000000,1000000,IF(MOD($E$6,500)=0,$E$6,$E$6-MOD($E$6,500))),IF(((1-(1+(F10/2))^(-A10))/((F10/2)))*$E$6&gt;1000000,1000000,IF(MOD(((1-(1+(F10/2))^(-A10))/(F10))*$E$6,500)=0,((1-(1+(F10/2))^(-A10))/((F10/2)))*$E$6,((1-(1+(F10/2))^(-A10))/((F10/2)))*$E$6-MOD(((1-(1+(F10/2))^(-A10))/((F10/2)))*$E$6,500))))&lt;5000,
0,
IF($E$4="MONTO",IF((IF(MOD($E$6,500)=0,$E$6,$E$6-MOD($E$6,500)))&gt;1000000,1000000,IF(MOD($E$6,500)=0,$E$6,$E$6-MOD($E$6,500))),IF(((1-(1+(F10/2))^(-A10))/((F10/2)))*$E$6&gt;1000000,1000000,IF(MOD(((1-(1+(F10/2))^(-A10))/(F10))*$E$6,500)=0,((1-(1+(F10/2))^(-A10))/((F10/2)))*$E$6,((1-(1+(F10/2))^(-A10))/((F10/2)))*$E$6-MOD(((1-(1+(F10/2))^(-A10))/((F10/2)))*$E$6,500)))))</f>
        <v>100000</v>
      </c>
      <c r="E10" s="5">
        <f>ROUND(-PMT(F10/2,A10,D10,,0),2)</f>
        <v>2595.5100000000002</v>
      </c>
      <c r="F10" s="7">
        <f>VLOOKUP(A10,$AQ$1:$AU$13,5,0)</f>
        <v>3.8975993797235299E-2</v>
      </c>
      <c r="G10" s="7">
        <f t="shared" ref="G10:G11" si="5">F10/1.16</f>
        <v>3.3599994652789053E-2</v>
      </c>
      <c r="H10" s="7">
        <f t="shared" ref="H10:H11" si="6">IFERROR(((L10-I10)/I10)/(A10/2),0)</f>
        <v>2.4132422222222231E-2</v>
      </c>
      <c r="I10" s="5">
        <f t="shared" ref="I10:I11" si="7">D10</f>
        <v>100000</v>
      </c>
      <c r="J10" s="5">
        <f t="shared" ref="J10:J11" si="8">(L10-I10)/1.16</f>
        <v>74893.724137931073</v>
      </c>
      <c r="K10" s="5">
        <f t="shared" ref="K10:K11" si="9">J10*16%</f>
        <v>11982.995862068972</v>
      </c>
      <c r="L10" s="5">
        <f t="shared" ref="L10:L11" si="10">E10*A10</f>
        <v>186876.72000000003</v>
      </c>
      <c r="M10" s="12"/>
      <c r="N10" s="12"/>
      <c r="O10" s="12"/>
      <c r="P10" s="12"/>
      <c r="Q10" s="12"/>
      <c r="R10" s="12"/>
      <c r="AR10" s="3"/>
      <c r="AS10" s="3"/>
    </row>
    <row r="11" spans="1:49" s="1" customFormat="1" x14ac:dyDescent="0.25">
      <c r="A11" s="2">
        <v>96</v>
      </c>
      <c r="B11" s="12"/>
      <c r="C11" s="4" t="str">
        <f>CONCATENATE(A11," Q")</f>
        <v>96 Q</v>
      </c>
      <c r="D11" s="5">
        <f>IF(IF($E$4="MONTO",IF((IF(MOD($E$6,500)=0,$E$6,$E$6-MOD($E$6,500)))&gt;1000000,1000000,IF(MOD($E$6,500)=0,$E$6,$E$6-MOD($E$6,500))),IF(((1-(1+(F11/2))^(-A11))/((F11/2)))*$E$6&gt;1000000,1000000,IF(MOD(((1-(1+(F11/2))^(-A11))/(F11))*$E$6,500)=0,((1-(1+(F11/2))^(-A11))/((F11/2)))*$E$6,((1-(1+(F11/2))^(-A11))/((F11/2)))*$E$6-MOD(((1-(1+(F11/2))^(-A11))/((F11/2)))*$E$6,500))))&lt;5000,
0,
IF($E$4="MONTO",IF((IF(MOD($E$6,500)=0,$E$6,$E$6-MOD($E$6,500)))&gt;1000000,1000000,IF(MOD($E$6,500)=0,$E$6,$E$6-MOD($E$6,500))),IF(((1-(1+(F11/2))^(-A11))/((F11/2)))*$E$6&gt;1000000,1000000,IF(MOD(((1-(1+(F11/2))^(-A11))/(F11))*$E$6,500)=0,((1-(1+(F11/2))^(-A11))/((F11/2)))*$E$6,((1-(1+(F11/2))^(-A11))/((F11/2)))*$E$6-MOD(((1-(1+(F11/2))^(-A11))/((F11/2)))*$E$6,500)))))</f>
        <v>100000</v>
      </c>
      <c r="E11" s="5">
        <f>ROUND(-PMT(F11/2,A11,D11,,0),2)</f>
        <v>2284.0500000000002</v>
      </c>
      <c r="F11" s="7">
        <f>VLOOKUP(A11,$AQ$1:$AU$13,5,0)</f>
        <v>3.8280005840350614E-2</v>
      </c>
      <c r="G11" s="7">
        <f t="shared" si="5"/>
        <v>3.3000005034785014E-2</v>
      </c>
      <c r="H11" s="7">
        <f t="shared" si="6"/>
        <v>2.4847666666666671E-2</v>
      </c>
      <c r="I11" s="5">
        <f t="shared" si="7"/>
        <v>100000</v>
      </c>
      <c r="J11" s="5">
        <f t="shared" si="8"/>
        <v>102817.93103448278</v>
      </c>
      <c r="K11" s="5">
        <f t="shared" si="9"/>
        <v>16450.868965517246</v>
      </c>
      <c r="L11" s="5">
        <f t="shared" si="10"/>
        <v>219268.80000000002</v>
      </c>
      <c r="M11" s="12"/>
      <c r="N11" s="12"/>
      <c r="O11" s="12"/>
      <c r="P11" s="12"/>
      <c r="Q11" s="12"/>
      <c r="R11" s="12"/>
      <c r="AR11" s="3"/>
      <c r="AS11" s="3"/>
    </row>
    <row r="12" spans="1:49" s="1" customFormat="1" x14ac:dyDescent="0.25">
      <c r="A12" s="2"/>
      <c r="B12" s="12"/>
      <c r="C12" s="17" t="s">
        <v>7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AR12" s="3"/>
      <c r="AS12" s="3"/>
    </row>
    <row r="13" spans="1:49" s="1" customFormat="1" x14ac:dyDescent="0.25">
      <c r="A13" s="2"/>
      <c r="B13" s="12"/>
      <c r="C13" s="17" t="s">
        <v>20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AR13" s="3"/>
      <c r="AS13" s="3"/>
    </row>
    <row r="14" spans="1:49" s="1" customFormat="1" x14ac:dyDescent="0.25">
      <c r="A14" s="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AR14" s="3"/>
      <c r="AS14" s="3"/>
    </row>
    <row r="15" spans="1:49" s="1" customFormat="1" x14ac:dyDescent="0.25">
      <c r="A15" s="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AR15" s="3"/>
      <c r="AS15" s="3"/>
    </row>
    <row r="16" spans="1:49" s="1" customFormat="1" x14ac:dyDescent="0.25">
      <c r="A16" s="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AR16" s="3"/>
      <c r="AS16" s="3"/>
    </row>
    <row r="17" spans="1:45" s="1" customFormat="1" x14ac:dyDescent="0.25">
      <c r="A17" s="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AR17" s="3"/>
      <c r="AS17" s="3"/>
    </row>
    <row r="18" spans="1:45" s="1" customFormat="1" x14ac:dyDescent="0.25">
      <c r="A18" s="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AR18" s="3"/>
      <c r="AS18" s="3"/>
    </row>
    <row r="19" spans="1:45" s="1" customFormat="1" x14ac:dyDescent="0.25">
      <c r="A19" s="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AR19" s="3"/>
      <c r="AS19" s="3"/>
    </row>
    <row r="20" spans="1:45" s="1" customFormat="1" x14ac:dyDescent="0.25">
      <c r="A20" s="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AR20" s="3"/>
      <c r="AS20" s="3"/>
    </row>
    <row r="21" spans="1:45" s="1" customFormat="1" x14ac:dyDescent="0.25">
      <c r="A21" s="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AR21" s="3"/>
      <c r="AS21" s="3"/>
    </row>
    <row r="22" spans="1:45" x14ac:dyDescent="0.25">
      <c r="A22" s="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</row>
    <row r="23" spans="1:45" x14ac:dyDescent="0.25">
      <c r="A23" s="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</row>
    <row r="24" spans="1:45" x14ac:dyDescent="0.25">
      <c r="A24" s="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</row>
    <row r="25" spans="1:45" x14ac:dyDescent="0.25">
      <c r="A25" s="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</row>
    <row r="26" spans="1:45" x14ac:dyDescent="0.25">
      <c r="A26" s="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</row>
    <row r="27" spans="1:45" x14ac:dyDescent="0.25">
      <c r="A27" s="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</row>
  </sheetData>
  <sheetProtection algorithmName="SHA-512" hashValue="jkTGky9P7m0DKdiw5lSFyNoRptWvx39FFiiqLigiN/Zrv8Mw2QsS4I2pRioqYT5ktustevXonPsABAjlalQHBA==" saltValue="ZyahjUDpX3snL9b6V+BoSw==" spinCount="100000" sheet="1" objects="1" scenarios="1" selectLockedCells="1"/>
  <mergeCells count="6">
    <mergeCell ref="C2:D2"/>
    <mergeCell ref="E2:G2"/>
    <mergeCell ref="C3:D3"/>
    <mergeCell ref="C4:D4"/>
    <mergeCell ref="G4:J7"/>
    <mergeCell ref="C6:D6"/>
  </mergeCells>
  <dataValidations count="2">
    <dataValidation type="list" allowBlank="1" showInputMessage="1" showErrorMessage="1" sqref="E4">
      <formula1>"Monto, Capacidad"</formula1>
    </dataValidation>
    <dataValidation type="custom" allowBlank="1" showInputMessage="1" showErrorMessage="1" sqref="E6">
      <formula1>E6&gt;=0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4208-CREDITO NUEVO E INTERCOMPA</vt:lpstr>
      <vt:lpstr>3937-LQ3</vt:lpstr>
      <vt:lpstr>4012-PRODUCTO MAX TASA ESPECIAL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Tzompantzi</dc:creator>
  <cp:lastModifiedBy>lenovo</cp:lastModifiedBy>
  <dcterms:created xsi:type="dcterms:W3CDTF">2022-04-20T16:01:06Z</dcterms:created>
  <dcterms:modified xsi:type="dcterms:W3CDTF">2025-08-23T00:05:51Z</dcterms:modified>
</cp:coreProperties>
</file>