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showHorizontalScroll="0" showVerticalScroll="0" xWindow="0" yWindow="0" windowWidth="24000" windowHeight="9735"/>
  </bookViews>
  <sheets>
    <sheet name="CORRESPONSAL 3139" sheetId="1" r:id="rId1"/>
    <sheet name="CORRESPONSAL 4241 - TASA VIP" sheetId="4" r:id="rId2"/>
    <sheet name="CORRESPONSAL 4265 COMPRA INTER" sheetId="5" r:id="rId3"/>
    <sheet name="CORRESPONSAL 2071-LQ3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5" l="1"/>
  <c r="I17" i="5" s="1"/>
  <c r="C17" i="5"/>
  <c r="D16" i="5"/>
  <c r="I16" i="5" s="1"/>
  <c r="C16" i="5"/>
  <c r="D15" i="5"/>
  <c r="I15" i="5" s="1"/>
  <c r="C15" i="5"/>
  <c r="D14" i="5"/>
  <c r="I14" i="5" s="1"/>
  <c r="C14" i="5"/>
  <c r="D13" i="5"/>
  <c r="I13" i="5" s="1"/>
  <c r="C13" i="5"/>
  <c r="D12" i="5"/>
  <c r="I12" i="5" s="1"/>
  <c r="C12" i="5"/>
  <c r="D11" i="5"/>
  <c r="I11" i="5" s="1"/>
  <c r="C11" i="5"/>
  <c r="AU10" i="5"/>
  <c r="AP10" i="5"/>
  <c r="AQ10" i="5" s="1"/>
  <c r="D10" i="5"/>
  <c r="I10" i="5" s="1"/>
  <c r="C10" i="5"/>
  <c r="AU9" i="5"/>
  <c r="AP9" i="5"/>
  <c r="AQ9" i="5" s="1"/>
  <c r="D9" i="5"/>
  <c r="I9" i="5" s="1"/>
  <c r="C9" i="5"/>
  <c r="AU8" i="5"/>
  <c r="AP8" i="5"/>
  <c r="AQ8" i="5" s="1"/>
  <c r="AU7" i="5"/>
  <c r="AP7" i="5"/>
  <c r="AQ7" i="5" s="1"/>
  <c r="AU6" i="5"/>
  <c r="AP6" i="5"/>
  <c r="AQ6" i="5" s="1"/>
  <c r="C6" i="5"/>
  <c r="AU5" i="5"/>
  <c r="AP5" i="5"/>
  <c r="AQ5" i="5" s="1"/>
  <c r="R5" i="5"/>
  <c r="S5" i="5" s="1"/>
  <c r="T5" i="5" s="1"/>
  <c r="U5" i="5" s="1"/>
  <c r="AU4" i="5"/>
  <c r="AP4" i="5"/>
  <c r="AQ4" i="5" s="1"/>
  <c r="R4" i="5"/>
  <c r="S4" i="5" s="1"/>
  <c r="T4" i="5" s="1"/>
  <c r="U4" i="5" s="1"/>
  <c r="AU3" i="5"/>
  <c r="AP3" i="5"/>
  <c r="AQ3" i="5" s="1"/>
  <c r="R3" i="5"/>
  <c r="S3" i="5" s="1"/>
  <c r="T3" i="5" s="1"/>
  <c r="U3" i="5" s="1"/>
  <c r="AU2" i="5"/>
  <c r="AP2" i="5"/>
  <c r="AQ2" i="5" s="1"/>
  <c r="F9" i="5" s="1"/>
  <c r="S2" i="5"/>
  <c r="T2" i="5" s="1"/>
  <c r="U2" i="5" s="1"/>
  <c r="R2" i="5"/>
  <c r="F16" i="5" l="1"/>
  <c r="AR9" i="5"/>
  <c r="AS9" i="5" s="1"/>
  <c r="F10" i="5"/>
  <c r="AR3" i="5"/>
  <c r="AS3" i="5" s="1"/>
  <c r="F13" i="5"/>
  <c r="AR6" i="5"/>
  <c r="AS6" i="5" s="1"/>
  <c r="AR8" i="5"/>
  <c r="AS8" i="5" s="1"/>
  <c r="F15" i="5"/>
  <c r="E9" i="5"/>
  <c r="L9" i="5" s="1"/>
  <c r="G9" i="5"/>
  <c r="F12" i="5"/>
  <c r="AR5" i="5"/>
  <c r="AS5" i="5" s="1"/>
  <c r="F11" i="5"/>
  <c r="AR4" i="5"/>
  <c r="AS4" i="5" s="1"/>
  <c r="AR7" i="5"/>
  <c r="AS7" i="5" s="1"/>
  <c r="F14" i="5"/>
  <c r="AR10" i="5"/>
  <c r="AS10" i="5" s="1"/>
  <c r="F17" i="5"/>
  <c r="AR2" i="5"/>
  <c r="AS2" i="5" s="1"/>
  <c r="G13" i="5" l="1"/>
  <c r="E13" i="5"/>
  <c r="L13" i="5" s="1"/>
  <c r="G15" i="5"/>
  <c r="E15" i="5"/>
  <c r="L15" i="5" s="1"/>
  <c r="G10" i="5"/>
  <c r="E10" i="5"/>
  <c r="L10" i="5" s="1"/>
  <c r="G14" i="5"/>
  <c r="E14" i="5"/>
  <c r="L14" i="5" s="1"/>
  <c r="G11" i="5"/>
  <c r="E11" i="5"/>
  <c r="L11" i="5" s="1"/>
  <c r="E12" i="5"/>
  <c r="L12" i="5" s="1"/>
  <c r="G12" i="5"/>
  <c r="G17" i="5"/>
  <c r="E17" i="5"/>
  <c r="L17" i="5" s="1"/>
  <c r="J9" i="5"/>
  <c r="K9" i="5" s="1"/>
  <c r="H9" i="5"/>
  <c r="E16" i="5"/>
  <c r="L16" i="5" s="1"/>
  <c r="G16" i="5"/>
  <c r="J14" i="5" l="1"/>
  <c r="K14" i="5" s="1"/>
  <c r="H14" i="5"/>
  <c r="H15" i="5"/>
  <c r="J15" i="5"/>
  <c r="K15" i="5" s="1"/>
  <c r="J10" i="5"/>
  <c r="K10" i="5" s="1"/>
  <c r="H10" i="5"/>
  <c r="H12" i="5"/>
  <c r="J12" i="5"/>
  <c r="K12" i="5" s="1"/>
  <c r="J17" i="5"/>
  <c r="K17" i="5" s="1"/>
  <c r="H17" i="5"/>
  <c r="J13" i="5"/>
  <c r="K13" i="5" s="1"/>
  <c r="H13" i="5"/>
  <c r="H11" i="5"/>
  <c r="J11" i="5"/>
  <c r="K11" i="5" s="1"/>
  <c r="J16" i="5"/>
  <c r="K16" i="5" s="1"/>
  <c r="H16" i="5"/>
  <c r="D11" i="4" l="1"/>
  <c r="I11" i="4" s="1"/>
  <c r="D10" i="4"/>
  <c r="I10" i="4" s="1"/>
  <c r="D9" i="4"/>
  <c r="I9" i="4" s="1"/>
  <c r="C11" i="4"/>
  <c r="C10" i="4"/>
  <c r="C9" i="4"/>
  <c r="C6" i="4"/>
  <c r="R5" i="4"/>
  <c r="S5" i="4" s="1"/>
  <c r="T5" i="4" s="1"/>
  <c r="U5" i="4" s="1"/>
  <c r="AU4" i="4"/>
  <c r="AP4" i="4"/>
  <c r="AQ4" i="4" s="1"/>
  <c r="R4" i="4"/>
  <c r="S4" i="4" s="1"/>
  <c r="T4" i="4" s="1"/>
  <c r="U4" i="4" s="1"/>
  <c r="AU3" i="4"/>
  <c r="AP3" i="4"/>
  <c r="AQ3" i="4" s="1"/>
  <c r="R3" i="4"/>
  <c r="S3" i="4" s="1"/>
  <c r="T3" i="4" s="1"/>
  <c r="U3" i="4" s="1"/>
  <c r="AU2" i="4"/>
  <c r="AP2" i="4"/>
  <c r="AQ2" i="4" s="1"/>
  <c r="F9" i="4" s="1"/>
  <c r="R2" i="4"/>
  <c r="S2" i="4" s="1"/>
  <c r="T2" i="4" s="1"/>
  <c r="U2" i="4" s="1"/>
  <c r="E9" i="4" l="1"/>
  <c r="L9" i="4" s="1"/>
  <c r="G9" i="4"/>
  <c r="AR3" i="4"/>
  <c r="AS3" i="4" s="1"/>
  <c r="F10" i="4"/>
  <c r="F11" i="4"/>
  <c r="AR4" i="4"/>
  <c r="AS4" i="4" s="1"/>
  <c r="AR2" i="4"/>
  <c r="AS2" i="4" s="1"/>
  <c r="D17" i="3"/>
  <c r="D16" i="3"/>
  <c r="D15" i="3"/>
  <c r="D14" i="3"/>
  <c r="D13" i="3"/>
  <c r="D12" i="3"/>
  <c r="D11" i="3"/>
  <c r="D10" i="3"/>
  <c r="D9" i="3"/>
  <c r="D17" i="1"/>
  <c r="D16" i="1"/>
  <c r="D15" i="1"/>
  <c r="D14" i="1"/>
  <c r="D13" i="1"/>
  <c r="D12" i="1"/>
  <c r="D11" i="1"/>
  <c r="D10" i="1"/>
  <c r="D9" i="1"/>
  <c r="G11" i="4" l="1"/>
  <c r="E11" i="4"/>
  <c r="L11" i="4" s="1"/>
  <c r="J9" i="4"/>
  <c r="K9" i="4" s="1"/>
  <c r="H9" i="4"/>
  <c r="G10" i="4"/>
  <c r="E10" i="4"/>
  <c r="L10" i="4" s="1"/>
  <c r="I17" i="3"/>
  <c r="C17" i="3"/>
  <c r="I16" i="3"/>
  <c r="C16" i="3"/>
  <c r="I15" i="3"/>
  <c r="C15" i="3"/>
  <c r="I14" i="3"/>
  <c r="C14" i="3"/>
  <c r="I13" i="3"/>
  <c r="C13" i="3"/>
  <c r="I12" i="3"/>
  <c r="C12" i="3"/>
  <c r="I11" i="3"/>
  <c r="C11" i="3"/>
  <c r="AU10" i="3"/>
  <c r="AP10" i="3"/>
  <c r="AQ10" i="3" s="1"/>
  <c r="I10" i="3"/>
  <c r="C10" i="3"/>
  <c r="AU9" i="3"/>
  <c r="AP9" i="3"/>
  <c r="AQ9" i="3" s="1"/>
  <c r="I9" i="3"/>
  <c r="C9" i="3"/>
  <c r="AU8" i="3"/>
  <c r="AP8" i="3"/>
  <c r="AQ8" i="3" s="1"/>
  <c r="AU7" i="3"/>
  <c r="AP7" i="3"/>
  <c r="AQ7" i="3" s="1"/>
  <c r="AU6" i="3"/>
  <c r="AP6" i="3"/>
  <c r="AQ6" i="3" s="1"/>
  <c r="C6" i="3"/>
  <c r="AU5" i="3"/>
  <c r="AP5" i="3"/>
  <c r="AQ5" i="3" s="1"/>
  <c r="S5" i="3"/>
  <c r="T5" i="3" s="1"/>
  <c r="U5" i="3" s="1"/>
  <c r="R5" i="3"/>
  <c r="AU4" i="3"/>
  <c r="AQ4" i="3"/>
  <c r="F11" i="3" s="1"/>
  <c r="AP4" i="3"/>
  <c r="T4" i="3"/>
  <c r="U4" i="3" s="1"/>
  <c r="S4" i="3"/>
  <c r="R4" i="3"/>
  <c r="AU3" i="3"/>
  <c r="AP3" i="3"/>
  <c r="AQ3" i="3" s="1"/>
  <c r="R3" i="3"/>
  <c r="S3" i="3" s="1"/>
  <c r="T3" i="3" s="1"/>
  <c r="U3" i="3" s="1"/>
  <c r="AU2" i="3"/>
  <c r="AP2" i="3"/>
  <c r="AQ2" i="3" s="1"/>
  <c r="R2" i="3"/>
  <c r="S2" i="3" s="1"/>
  <c r="T2" i="3" s="1"/>
  <c r="U2" i="3" s="1"/>
  <c r="AU10" i="1"/>
  <c r="AU9" i="1"/>
  <c r="AU8" i="1"/>
  <c r="AU7" i="1"/>
  <c r="AU6" i="1"/>
  <c r="AU5" i="1"/>
  <c r="AU4" i="1"/>
  <c r="AU3" i="1"/>
  <c r="AU2" i="1"/>
  <c r="AS2" i="1"/>
  <c r="AS3" i="1"/>
  <c r="AP10" i="1"/>
  <c r="AQ10" i="1" s="1"/>
  <c r="AR10" i="1" s="1"/>
  <c r="AS10" i="1" s="1"/>
  <c r="AP9" i="1"/>
  <c r="AQ9" i="1" s="1"/>
  <c r="AR9" i="1" s="1"/>
  <c r="AS9" i="1" s="1"/>
  <c r="AP8" i="1"/>
  <c r="AQ8" i="1" s="1"/>
  <c r="AR8" i="1" s="1"/>
  <c r="AS8" i="1" s="1"/>
  <c r="AP7" i="1"/>
  <c r="AQ7" i="1" s="1"/>
  <c r="AR7" i="1" s="1"/>
  <c r="AS7" i="1" s="1"/>
  <c r="I17" i="1"/>
  <c r="I16" i="1"/>
  <c r="I15" i="1"/>
  <c r="I14" i="1"/>
  <c r="J10" i="4" l="1"/>
  <c r="K10" i="4" s="1"/>
  <c r="H10" i="4"/>
  <c r="H11" i="4"/>
  <c r="J11" i="4"/>
  <c r="K11" i="4" s="1"/>
  <c r="F16" i="3"/>
  <c r="G16" i="3" s="1"/>
  <c r="AR9" i="3"/>
  <c r="AS9" i="3" s="1"/>
  <c r="F14" i="3"/>
  <c r="G14" i="3" s="1"/>
  <c r="AR7" i="3"/>
  <c r="AS7" i="3" s="1"/>
  <c r="F10" i="3"/>
  <c r="AR3" i="3"/>
  <c r="AS3" i="3" s="1"/>
  <c r="G11" i="3"/>
  <c r="E11" i="3"/>
  <c r="L11" i="3" s="1"/>
  <c r="AR10" i="3"/>
  <c r="AS10" i="3" s="1"/>
  <c r="F17" i="3"/>
  <c r="F12" i="3"/>
  <c r="AR5" i="3"/>
  <c r="AS5" i="3" s="1"/>
  <c r="F15" i="3"/>
  <c r="AR8" i="3"/>
  <c r="AS8" i="3" s="1"/>
  <c r="F9" i="3"/>
  <c r="AR2" i="3"/>
  <c r="AS2" i="3" s="1"/>
  <c r="AR6" i="3"/>
  <c r="AS6" i="3" s="1"/>
  <c r="F13" i="3"/>
  <c r="AR4" i="3"/>
  <c r="AS4" i="3" s="1"/>
  <c r="E16" i="3" l="1"/>
  <c r="L16" i="3" s="1"/>
  <c r="J16" i="3" s="1"/>
  <c r="K16" i="3" s="1"/>
  <c r="E14" i="3"/>
  <c r="L14" i="3" s="1"/>
  <c r="H14" i="3" s="1"/>
  <c r="G13" i="3"/>
  <c r="E13" i="3"/>
  <c r="L13" i="3" s="1"/>
  <c r="H11" i="3"/>
  <c r="J11" i="3"/>
  <c r="K11" i="3" s="1"/>
  <c r="G10" i="3"/>
  <c r="E10" i="3"/>
  <c r="L10" i="3" s="1"/>
  <c r="E17" i="3"/>
  <c r="L17" i="3" s="1"/>
  <c r="G17" i="3"/>
  <c r="E9" i="3"/>
  <c r="L9" i="3" s="1"/>
  <c r="G9" i="3"/>
  <c r="G15" i="3"/>
  <c r="E15" i="3"/>
  <c r="L15" i="3" s="1"/>
  <c r="E12" i="3"/>
  <c r="L12" i="3" s="1"/>
  <c r="G12" i="3"/>
  <c r="H16" i="3" l="1"/>
  <c r="J14" i="3"/>
  <c r="K14" i="3" s="1"/>
  <c r="J13" i="3"/>
  <c r="K13" i="3" s="1"/>
  <c r="H13" i="3"/>
  <c r="J12" i="3"/>
  <c r="K12" i="3" s="1"/>
  <c r="H12" i="3"/>
  <c r="H15" i="3"/>
  <c r="J15" i="3"/>
  <c r="K15" i="3" s="1"/>
  <c r="J9" i="3"/>
  <c r="K9" i="3" s="1"/>
  <c r="H9" i="3"/>
  <c r="J10" i="3"/>
  <c r="K10" i="3" s="1"/>
  <c r="H10" i="3"/>
  <c r="J17" i="3"/>
  <c r="K17" i="3" s="1"/>
  <c r="H17" i="3"/>
  <c r="F14" i="1" l="1"/>
  <c r="C14" i="1"/>
  <c r="G14" i="1" l="1"/>
  <c r="E14" i="1"/>
  <c r="L14" i="1" s="1"/>
  <c r="C15" i="1"/>
  <c r="F15" i="1"/>
  <c r="G15" i="1" l="1"/>
  <c r="E15" i="1"/>
  <c r="L15" i="1" s="1"/>
  <c r="F16" i="1"/>
  <c r="C16" i="1"/>
  <c r="H14" i="1"/>
  <c r="J14" i="1"/>
  <c r="K14" i="1" s="1"/>
  <c r="G16" i="1" l="1"/>
  <c r="E16" i="1"/>
  <c r="L16" i="1" s="1"/>
  <c r="C17" i="1"/>
  <c r="F17" i="1"/>
  <c r="H15" i="1"/>
  <c r="J15" i="1"/>
  <c r="K15" i="1" s="1"/>
  <c r="G17" i="1" l="1"/>
  <c r="E17" i="1"/>
  <c r="L17" i="1" s="1"/>
  <c r="J16" i="1"/>
  <c r="K16" i="1" s="1"/>
  <c r="H16" i="1"/>
  <c r="J17" i="1" l="1"/>
  <c r="K17" i="1" s="1"/>
  <c r="H17" i="1"/>
  <c r="C13" i="1" l="1"/>
  <c r="C12" i="1"/>
  <c r="C11" i="1"/>
  <c r="C10" i="1"/>
  <c r="C9" i="1"/>
  <c r="AP2" i="1" l="1"/>
  <c r="AQ2" i="1" s="1"/>
  <c r="F9" i="1" s="1"/>
  <c r="G9" i="1" s="1"/>
  <c r="AP3" i="1"/>
  <c r="AQ3" i="1" s="1"/>
  <c r="F10" i="1" s="1"/>
  <c r="G10" i="1" s="1"/>
  <c r="AP4" i="1"/>
  <c r="AQ4" i="1" s="1"/>
  <c r="AP5" i="1"/>
  <c r="AQ5" i="1" s="1"/>
  <c r="AP6" i="1"/>
  <c r="AQ6" i="1" s="1"/>
  <c r="AR6" i="1" l="1"/>
  <c r="AS6" i="1" s="1"/>
  <c r="F13" i="1"/>
  <c r="G13" i="1" s="1"/>
  <c r="AR4" i="1"/>
  <c r="AS4" i="1" s="1"/>
  <c r="F11" i="1"/>
  <c r="G11" i="1" s="1"/>
  <c r="AR5" i="1"/>
  <c r="AS5" i="1" s="1"/>
  <c r="F12" i="1"/>
  <c r="G12" i="1" s="1"/>
  <c r="AR3" i="1"/>
  <c r="E10" i="1"/>
  <c r="AR2" i="1"/>
  <c r="E9" i="1"/>
  <c r="E13" i="1" l="1"/>
  <c r="L13" i="1" s="1"/>
  <c r="E12" i="1"/>
  <c r="L12" i="1" s="1"/>
  <c r="E11" i="1"/>
  <c r="L11" i="1" s="1"/>
  <c r="I13" i="1"/>
  <c r="I12" i="1"/>
  <c r="L10" i="1"/>
  <c r="L9" i="1"/>
  <c r="R5" i="1"/>
  <c r="S5" i="1" s="1"/>
  <c r="T5" i="1" s="1"/>
  <c r="U5" i="1" s="1"/>
  <c r="R4" i="1"/>
  <c r="S4" i="1" s="1"/>
  <c r="T4" i="1" s="1"/>
  <c r="U4" i="1" s="1"/>
  <c r="R3" i="1"/>
  <c r="S3" i="1" s="1"/>
  <c r="T3" i="1" s="1"/>
  <c r="U3" i="1" s="1"/>
  <c r="R2" i="1"/>
  <c r="S2" i="1" s="1"/>
  <c r="T2" i="1" s="1"/>
  <c r="U2" i="1" s="1"/>
  <c r="J12" i="1" l="1"/>
  <c r="K12" i="1" s="1"/>
  <c r="H13" i="1"/>
  <c r="H12" i="1"/>
  <c r="J13" i="1"/>
  <c r="K13" i="1" s="1"/>
  <c r="I10" i="1"/>
  <c r="I11" i="1"/>
  <c r="H11" i="1" s="1"/>
  <c r="I9" i="1"/>
  <c r="H10" i="1" l="1"/>
  <c r="H9" i="1"/>
  <c r="J9" i="1"/>
  <c r="K9" i="1" s="1"/>
  <c r="J11" i="1"/>
  <c r="J10" i="1"/>
  <c r="C6" i="1"/>
  <c r="K10" i="1" l="1"/>
  <c r="K11" i="1" l="1"/>
</calcChain>
</file>

<file path=xl/comments1.xml><?xml version="1.0" encoding="utf-8"?>
<comments xmlns="http://schemas.openxmlformats.org/spreadsheetml/2006/main">
  <authors>
    <author>lenovo</author>
  </authors>
  <commentList>
    <comment ref="F8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comments2.xml><?xml version="1.0" encoding="utf-8"?>
<comments xmlns="http://schemas.openxmlformats.org/spreadsheetml/2006/main">
  <authors>
    <author>lenovo</author>
  </authors>
  <commentList>
    <comment ref="F8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comments3.xml><?xml version="1.0" encoding="utf-8"?>
<comments xmlns="http://schemas.openxmlformats.org/spreadsheetml/2006/main">
  <authors>
    <author>lenovo</author>
  </authors>
  <commentList>
    <comment ref="F8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comments4.xml><?xml version="1.0" encoding="utf-8"?>
<comments xmlns="http://schemas.openxmlformats.org/spreadsheetml/2006/main">
  <authors>
    <author>lenovo</author>
  </authors>
  <commentList>
    <comment ref="F8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sharedStrings.xml><?xml version="1.0" encoding="utf-8"?>
<sst xmlns="http://schemas.openxmlformats.org/spreadsheetml/2006/main" count="140" uniqueCount="31">
  <si>
    <t xml:space="preserve">Dependencia: </t>
  </si>
  <si>
    <t>Frecuencia:</t>
  </si>
  <si>
    <t>Mensual</t>
  </si>
  <si>
    <t>Plazo</t>
  </si>
  <si>
    <t>Prestamo</t>
  </si>
  <si>
    <t>Pagare</t>
  </si>
  <si>
    <t>Capital</t>
  </si>
  <si>
    <t>*Calculo para fines informativos</t>
  </si>
  <si>
    <t>Calculo por:</t>
  </si>
  <si>
    <t>Tasa Global</t>
  </si>
  <si>
    <t>Interes</t>
  </si>
  <si>
    <t>IVA</t>
  </si>
  <si>
    <t>PLAZO Q</t>
  </si>
  <si>
    <t>CAPITAL</t>
  </si>
  <si>
    <t>PAGO QUINCENAL</t>
  </si>
  <si>
    <t>TASA MENSUAL</t>
  </si>
  <si>
    <t>TASA QUINCENAL</t>
  </si>
  <si>
    <t>TASA SIN IVA</t>
  </si>
  <si>
    <t>TASA ANUAL</t>
  </si>
  <si>
    <t>Des. Quincenal</t>
  </si>
  <si>
    <t>*Las tasas globales e insolutas estan en terminos mensuales e incluyen el IVA.</t>
  </si>
  <si>
    <t>CAT</t>
  </si>
  <si>
    <t>CAT IVA</t>
  </si>
  <si>
    <t>Tasa C/IVA</t>
  </si>
  <si>
    <t>Tasa S/IVA</t>
  </si>
  <si>
    <t>Monto</t>
  </si>
  <si>
    <t>SNTE 18 MICHOACAN/CONSUPAGO</t>
  </si>
  <si>
    <r>
      <t xml:space="preserve">Condiciones:  
Se puede utilizar para hacer simulaciones para </t>
    </r>
    <r>
      <rPr>
        <b/>
        <sz val="8"/>
        <color rgb="FFFF0000"/>
        <rFont val="Calibri"/>
        <family val="2"/>
        <scheme val="minor"/>
      </rPr>
      <t>CRÉDITOS NUEVOS y RENOVACIONES DE CSP A CSP.</t>
    </r>
    <r>
      <rPr>
        <b/>
        <sz val="8"/>
        <color theme="1"/>
        <rFont val="Calibri"/>
        <family val="2"/>
        <scheme val="minor"/>
      </rPr>
      <t xml:space="preserve">
24 a 120 quincenas, montos desde 5,000 hasta 1,000,000.</t>
    </r>
  </si>
  <si>
    <r>
      <t xml:space="preserve">Condiciones:
Se utiliza una tasa preferencial para hacer simulaciones de </t>
    </r>
    <r>
      <rPr>
        <b/>
        <sz val="8"/>
        <color rgb="FFFF0000"/>
        <rFont val="Calibri"/>
        <family val="2"/>
        <scheme val="minor"/>
      </rPr>
      <t>CRÉDITOS NUEVOS y RENOVACIONES DE CSP A CSP.</t>
    </r>
    <r>
      <rPr>
        <b/>
        <sz val="8"/>
        <color theme="1"/>
        <rFont val="Calibri"/>
        <family val="2"/>
        <scheme val="minor"/>
      </rPr>
      <t xml:space="preserve"> 
72 a 120 quincenas, montos desde 40,000 hasta 1,000,000.</t>
    </r>
  </si>
  <si>
    <r>
      <t xml:space="preserve">Condiciones:
Se puede utilizar para simulaciones de créditos que apliquen </t>
    </r>
    <r>
      <rPr>
        <b/>
        <sz val="8"/>
        <color rgb="FFFF0000"/>
        <rFont val="Calibri"/>
        <family val="2"/>
        <scheme val="minor"/>
      </rPr>
      <t>COMPRA DE CARTERA.</t>
    </r>
    <r>
      <rPr>
        <b/>
        <sz val="8"/>
        <color theme="1"/>
        <rFont val="Calibri"/>
        <family val="2"/>
        <scheme val="minor"/>
      </rPr>
      <t xml:space="preserve">
24 a 120 quincenas, montos desde 10,000 hasta 1,000,000.</t>
    </r>
  </si>
  <si>
    <r>
      <t xml:space="preserve">Condiciones:  
Se puede utilizar para hacer simulaciones para </t>
    </r>
    <r>
      <rPr>
        <b/>
        <sz val="8"/>
        <color rgb="FFFF0000"/>
        <rFont val="Calibri"/>
        <family val="2"/>
        <scheme val="minor"/>
      </rPr>
      <t>COMPRAS INTERCOMPAÑIAS (CSB, MN Y OPC).</t>
    </r>
    <r>
      <rPr>
        <b/>
        <sz val="8"/>
        <color theme="1"/>
        <rFont val="Calibri"/>
        <family val="2"/>
        <scheme val="minor"/>
      </rPr>
      <t xml:space="preserve">
24 a 120 quincenas, montos desde 5,000 hasta 1,000,000.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</si>
</sst>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-&quot;$&quot;* #,##0.0000_-;\-&quot;$&quot;* #,##0.0000_-;_-&quot;$&quot;* &quot;-&quot;??_-;_-@_-"/>
    <numFmt numFmtId="166" formatCode="[$-80A]General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6" fontId="2" fillId="0" borderId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0" fillId="4" borderId="0" xfId="0" applyFill="1" applyProtection="1"/>
    <xf numFmtId="0" fontId="0" fillId="3" borderId="0" xfId="0" applyFill="1" applyProtection="1"/>
    <xf numFmtId="44" fontId="0" fillId="4" borderId="0" xfId="0" applyNumberFormat="1" applyFill="1" applyProtection="1"/>
    <xf numFmtId="0" fontId="0" fillId="4" borderId="0" xfId="0" applyFont="1" applyFill="1" applyProtection="1"/>
    <xf numFmtId="44" fontId="0" fillId="3" borderId="0" xfId="0" applyNumberFormat="1" applyFill="1" applyProtection="1"/>
    <xf numFmtId="165" fontId="0" fillId="3" borderId="0" xfId="0" applyNumberFormat="1" applyFill="1" applyProtection="1"/>
    <xf numFmtId="0" fontId="0" fillId="2" borderId="0" xfId="0" applyFill="1" applyAlignment="1" applyProtection="1">
      <alignment horizontal="center"/>
    </xf>
    <xf numFmtId="44" fontId="0" fillId="2" borderId="0" xfId="0" applyNumberFormat="1" applyFill="1" applyAlignment="1" applyProtection="1">
      <alignment horizontal="center"/>
    </xf>
    <xf numFmtId="0" fontId="0" fillId="0" borderId="0" xfId="0" applyProtection="1"/>
    <xf numFmtId="10" fontId="0" fillId="3" borderId="0" xfId="0" applyNumberFormat="1" applyFill="1" applyProtection="1"/>
    <xf numFmtId="0" fontId="1" fillId="5" borderId="0" xfId="0" applyFont="1" applyFill="1" applyAlignment="1" applyProtection="1">
      <alignment horizontal="center"/>
    </xf>
    <xf numFmtId="2" fontId="0" fillId="3" borderId="0" xfId="0" applyNumberFormat="1" applyFill="1" applyProtection="1"/>
    <xf numFmtId="164" fontId="0" fillId="3" borderId="0" xfId="0" applyNumberFormat="1" applyFill="1" applyProtection="1"/>
    <xf numFmtId="10" fontId="0" fillId="2" borderId="0" xfId="0" applyNumberFormat="1" applyFill="1" applyAlignment="1" applyProtection="1">
      <alignment horizontal="center"/>
    </xf>
    <xf numFmtId="0" fontId="0" fillId="4" borderId="0" xfId="0" applyFont="1" applyFill="1" applyBorder="1" applyProtection="1"/>
    <xf numFmtId="10" fontId="0" fillId="4" borderId="0" xfId="0" applyNumberFormat="1" applyFill="1" applyProtection="1"/>
    <xf numFmtId="10" fontId="0" fillId="4" borderId="0" xfId="2" applyNumberFormat="1" applyFont="1" applyFill="1" applyProtection="1"/>
    <xf numFmtId="8" fontId="0" fillId="4" borderId="0" xfId="0" applyNumberFormat="1" applyFont="1" applyFill="1" applyProtection="1"/>
    <xf numFmtId="8" fontId="0" fillId="4" borderId="0" xfId="0" applyNumberFormat="1" applyFill="1" applyProtection="1"/>
    <xf numFmtId="0" fontId="1" fillId="3" borderId="0" xfId="0" applyFont="1" applyFill="1" applyAlignment="1" applyProtection="1">
      <alignment horizontal="center"/>
    </xf>
    <xf numFmtId="0" fontId="4" fillId="4" borderId="0" xfId="0" applyFont="1" applyFill="1" applyAlignment="1" applyProtection="1">
      <alignment horizontal="center"/>
      <protection locked="0"/>
    </xf>
    <xf numFmtId="44" fontId="4" fillId="0" borderId="0" xfId="0" applyNumberFormat="1" applyFont="1" applyAlignment="1" applyProtection="1">
      <alignment horizontal="center"/>
      <protection locked="0"/>
    </xf>
    <xf numFmtId="0" fontId="5" fillId="3" borderId="0" xfId="0" applyFont="1" applyFill="1" applyProtection="1"/>
    <xf numFmtId="44" fontId="0" fillId="0" borderId="0" xfId="0" applyNumberFormat="1" applyProtection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4" fillId="4" borderId="0" xfId="0" applyFont="1" applyFill="1" applyAlignment="1" applyProtection="1">
      <alignment horizontal="center"/>
    </xf>
    <xf numFmtId="2" fontId="4" fillId="4" borderId="0" xfId="0" applyNumberFormat="1" applyFont="1" applyFill="1" applyAlignment="1" applyProtection="1">
      <alignment horizontal="center" wrapText="1"/>
    </xf>
    <xf numFmtId="2" fontId="7" fillId="4" borderId="0" xfId="0" applyNumberFormat="1" applyFont="1" applyFill="1" applyAlignment="1" applyProtection="1">
      <alignment horizontal="center" wrapText="1"/>
    </xf>
  </cellXfs>
  <cellStyles count="3">
    <cellStyle name="Excel Built-in Normal" xfId="1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775138</xdr:colOff>
      <xdr:row>35</xdr:row>
      <xdr:rowOff>94593</xdr:rowOff>
    </xdr:from>
    <xdr:to>
      <xdr:col>12</xdr:col>
      <xdr:colOff>0</xdr:colOff>
      <xdr:row>36</xdr:row>
      <xdr:rowOff>147144</xdr:rowOff>
    </xdr:to>
    <xdr:sp macro="" textlink="">
      <xdr:nvSpPr>
        <xdr:cNvPr id="50" name="Rectángulo 49"/>
        <xdr:cNvSpPr/>
      </xdr:nvSpPr>
      <xdr:spPr>
        <a:xfrm>
          <a:off x="9216259" y="6184024"/>
          <a:ext cx="1668517" cy="243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(Capital * Plazo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 1.16)</a:t>
          </a:r>
        </a:p>
        <a:p>
          <a:endParaRPr lang="es-MX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775138</xdr:colOff>
      <xdr:row>29</xdr:row>
      <xdr:rowOff>94593</xdr:rowOff>
    </xdr:from>
    <xdr:to>
      <xdr:col>12</xdr:col>
      <xdr:colOff>0</xdr:colOff>
      <xdr:row>30</xdr:row>
      <xdr:rowOff>147144</xdr:rowOff>
    </xdr:to>
    <xdr:sp macro="" textlink="">
      <xdr:nvSpPr>
        <xdr:cNvPr id="2" name="Rectángulo 1"/>
        <xdr:cNvSpPr/>
      </xdr:nvSpPr>
      <xdr:spPr>
        <a:xfrm>
          <a:off x="9261913" y="6762093"/>
          <a:ext cx="186887" cy="243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(Capital * Plazo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 1.16)</a:t>
          </a:r>
        </a:p>
        <a:p>
          <a:endParaRPr lang="es-MX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775138</xdr:colOff>
      <xdr:row>35</xdr:row>
      <xdr:rowOff>94593</xdr:rowOff>
    </xdr:from>
    <xdr:to>
      <xdr:col>12</xdr:col>
      <xdr:colOff>0</xdr:colOff>
      <xdr:row>36</xdr:row>
      <xdr:rowOff>147144</xdr:rowOff>
    </xdr:to>
    <xdr:sp macro="" textlink="">
      <xdr:nvSpPr>
        <xdr:cNvPr id="2" name="Rectángulo 1"/>
        <xdr:cNvSpPr/>
      </xdr:nvSpPr>
      <xdr:spPr>
        <a:xfrm>
          <a:off x="9366688" y="6762093"/>
          <a:ext cx="215462" cy="243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(Capital * Plazo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 1.16)</a:t>
          </a:r>
        </a:p>
        <a:p>
          <a:endParaRPr lang="es-MX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775138</xdr:colOff>
      <xdr:row>35</xdr:row>
      <xdr:rowOff>94593</xdr:rowOff>
    </xdr:from>
    <xdr:to>
      <xdr:col>12</xdr:col>
      <xdr:colOff>0</xdr:colOff>
      <xdr:row>36</xdr:row>
      <xdr:rowOff>147144</xdr:rowOff>
    </xdr:to>
    <xdr:sp macro="" textlink="">
      <xdr:nvSpPr>
        <xdr:cNvPr id="2" name="Rectángulo 1"/>
        <xdr:cNvSpPr/>
      </xdr:nvSpPr>
      <xdr:spPr>
        <a:xfrm>
          <a:off x="9033313" y="6762093"/>
          <a:ext cx="129737" cy="243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(Capital * Plazo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 1.16)</a:t>
          </a: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34"/>
  <sheetViews>
    <sheetView showGridLines="0" tabSelected="1" topLeftCell="B1" zoomScale="160" zoomScaleNormal="160" workbookViewId="0">
      <selection activeCell="E4" sqref="E4"/>
    </sheetView>
  </sheetViews>
  <sheetFormatPr baseColWidth="10" defaultRowHeight="15" x14ac:dyDescent="0.25"/>
  <cols>
    <col min="1" max="1" width="4" style="9" hidden="1" customWidth="1"/>
    <col min="2" max="2" width="4.42578125" style="9" customWidth="1"/>
    <col min="3" max="3" width="11.42578125" style="9"/>
    <col min="4" max="4" width="15.140625" style="9" customWidth="1"/>
    <col min="5" max="5" width="14.140625" style="9" bestFit="1" customWidth="1"/>
    <col min="6" max="6" width="13.5703125" style="9" bestFit="1" customWidth="1"/>
    <col min="7" max="7" width="11.140625" style="9" bestFit="1" customWidth="1"/>
    <col min="8" max="8" width="14.42578125" style="9" bestFit="1" customWidth="1"/>
    <col min="9" max="12" width="14.85546875" style="9" customWidth="1"/>
    <col min="13" max="14" width="11.42578125" style="9"/>
    <col min="15" max="20" width="0" style="9" hidden="1" customWidth="1"/>
    <col min="21" max="21" width="13.140625" style="9" hidden="1" customWidth="1"/>
    <col min="22" max="38" width="11.42578125" style="9"/>
    <col min="39" max="39" width="8.5703125" style="9" bestFit="1" customWidth="1"/>
    <col min="40" max="40" width="14.140625" style="24" bestFit="1" customWidth="1"/>
    <col min="41" max="41" width="17.140625" style="24" bestFit="1" customWidth="1"/>
    <col min="42" max="42" width="16.5703125" style="9" bestFit="1" customWidth="1"/>
    <col min="43" max="43" width="14.5703125" style="9" bestFit="1" customWidth="1"/>
    <col min="44" max="44" width="12.5703125" style="9" bestFit="1" customWidth="1"/>
    <col min="45" max="45" width="12.140625" style="9" bestFit="1" customWidth="1"/>
    <col min="46" max="16384" width="11.42578125" style="9"/>
  </cols>
  <sheetData>
    <row r="1" spans="1:47" s="1" customForma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4" t="s">
        <v>12</v>
      </c>
      <c r="P1" s="1" t="s">
        <v>13</v>
      </c>
      <c r="Q1" s="1" t="s">
        <v>14</v>
      </c>
      <c r="R1" s="1" t="s">
        <v>16</v>
      </c>
      <c r="S1" s="1" t="s">
        <v>15</v>
      </c>
      <c r="T1" s="1" t="s">
        <v>17</v>
      </c>
      <c r="U1" s="1" t="s">
        <v>18</v>
      </c>
      <c r="AM1" s="4" t="s">
        <v>12</v>
      </c>
      <c r="AN1" s="1" t="s">
        <v>13</v>
      </c>
      <c r="AO1" s="1" t="s">
        <v>14</v>
      </c>
      <c r="AP1" s="1" t="s">
        <v>16</v>
      </c>
      <c r="AQ1" s="1" t="s">
        <v>15</v>
      </c>
      <c r="AR1" s="1" t="s">
        <v>17</v>
      </c>
      <c r="AS1" s="1" t="s">
        <v>18</v>
      </c>
      <c r="AT1" s="1" t="s">
        <v>21</v>
      </c>
      <c r="AU1" s="1" t="s">
        <v>22</v>
      </c>
    </row>
    <row r="2" spans="1:47" s="1" customFormat="1" x14ac:dyDescent="0.25">
      <c r="A2" s="2"/>
      <c r="B2" s="2"/>
      <c r="C2" s="28" t="s">
        <v>0</v>
      </c>
      <c r="D2" s="28"/>
      <c r="E2" s="29" t="s">
        <v>26</v>
      </c>
      <c r="F2" s="29"/>
      <c r="G2" s="29"/>
      <c r="H2" s="2"/>
      <c r="I2" s="2"/>
      <c r="J2" s="2"/>
      <c r="K2" s="2"/>
      <c r="L2" s="2"/>
      <c r="M2" s="2"/>
      <c r="N2" s="2"/>
      <c r="O2" s="15">
        <v>24</v>
      </c>
      <c r="P2" s="18">
        <v>497000</v>
      </c>
      <c r="Q2" s="19">
        <v>25850.25</v>
      </c>
      <c r="R2" s="16">
        <f>RATE(O2,-Q2,P2,0,0)</f>
        <v>1.8560002435494275E-2</v>
      </c>
      <c r="S2" s="17">
        <f>R2*2</f>
        <v>3.712000487098855E-2</v>
      </c>
      <c r="T2" s="17">
        <f>S2/1.16</f>
        <v>3.200000419912806E-2</v>
      </c>
      <c r="U2" s="17">
        <f>T2*12</f>
        <v>0.38400005038953672</v>
      </c>
      <c r="AM2" s="1">
        <v>24</v>
      </c>
      <c r="AN2" s="3">
        <v>1000000</v>
      </c>
      <c r="AO2" s="3">
        <v>61313.63</v>
      </c>
      <c r="AP2" s="16">
        <f t="shared" ref="AP2:AP6" si="0">RATE(AM2,-AO2,AN2,0,0)</f>
        <v>3.3527485082273087E-2</v>
      </c>
      <c r="AQ2" s="16">
        <f>AP2*2</f>
        <v>6.7054970164546174E-2</v>
      </c>
      <c r="AR2" s="16">
        <f>AQ2/1.16</f>
        <v>5.7806008762539808E-2</v>
      </c>
      <c r="AS2" s="16">
        <f>AR2*12</f>
        <v>0.69367210515047772</v>
      </c>
      <c r="AT2" s="16">
        <v>0.98099999999999998</v>
      </c>
      <c r="AU2" s="16">
        <f>AT2*1.16</f>
        <v>1.1379599999999999</v>
      </c>
    </row>
    <row r="3" spans="1:47" s="1" customFormat="1" x14ac:dyDescent="0.25">
      <c r="A3" s="2"/>
      <c r="B3" s="2"/>
      <c r="C3" s="28" t="s">
        <v>1</v>
      </c>
      <c r="D3" s="28"/>
      <c r="E3" s="20" t="s">
        <v>2</v>
      </c>
      <c r="F3" s="2"/>
      <c r="G3" s="2"/>
      <c r="H3" s="2"/>
      <c r="I3" s="2"/>
      <c r="J3" s="2"/>
      <c r="K3" s="2"/>
      <c r="L3" s="2"/>
      <c r="M3" s="2"/>
      <c r="N3" s="2"/>
      <c r="O3" s="15">
        <v>48</v>
      </c>
      <c r="P3" s="18">
        <v>497000</v>
      </c>
      <c r="Q3" s="18">
        <v>15732</v>
      </c>
      <c r="R3" s="16">
        <f t="shared" ref="R3:R5" si="1">RATE(O3,-Q3,P3,0,0)</f>
        <v>1.8559989355188038E-2</v>
      </c>
      <c r="S3" s="17">
        <f t="shared" ref="S3:S5" si="2">R3*2</f>
        <v>3.7119978710376075E-2</v>
      </c>
      <c r="T3" s="17">
        <f t="shared" ref="T3:T5" si="3">S3/1.16</f>
        <v>3.1999981646875932E-2</v>
      </c>
      <c r="U3" s="17">
        <f t="shared" ref="U3:U5" si="4">T3*12</f>
        <v>0.38399977976251121</v>
      </c>
      <c r="AM3" s="1">
        <v>36</v>
      </c>
      <c r="AN3" s="3">
        <v>1000000</v>
      </c>
      <c r="AO3" s="3">
        <v>47676.81</v>
      </c>
      <c r="AP3" s="16">
        <f t="shared" si="0"/>
        <v>3.2713157099899463E-2</v>
      </c>
      <c r="AQ3" s="16">
        <f t="shared" ref="AQ3:AQ6" si="5">AP3*2</f>
        <v>6.5426314199798927E-2</v>
      </c>
      <c r="AR3" s="16">
        <f t="shared" ref="AR3:AR6" si="6">AQ3/1.16</f>
        <v>5.6401994999826663E-2</v>
      </c>
      <c r="AS3" s="16">
        <f t="shared" ref="AS3:AS6" si="7">AR3*12</f>
        <v>0.6768239399979199</v>
      </c>
      <c r="AT3" s="16">
        <v>0.94899999999999995</v>
      </c>
      <c r="AU3" s="16">
        <f t="shared" ref="AU3:AU10" si="8">AT3*1.16</f>
        <v>1.1008399999999998</v>
      </c>
    </row>
    <row r="4" spans="1:47" s="1" customFormat="1" ht="15" customHeight="1" x14ac:dyDescent="0.25">
      <c r="A4" s="2"/>
      <c r="B4" s="2"/>
      <c r="C4" s="28" t="s">
        <v>8</v>
      </c>
      <c r="D4" s="28"/>
      <c r="E4" s="21" t="s">
        <v>25</v>
      </c>
      <c r="F4" s="2"/>
      <c r="G4" s="31" t="s">
        <v>27</v>
      </c>
      <c r="H4" s="31"/>
      <c r="I4" s="31"/>
      <c r="J4" s="2"/>
      <c r="K4" s="2"/>
      <c r="L4" s="2"/>
      <c r="M4" s="2"/>
      <c r="N4" s="2"/>
      <c r="O4" s="15">
        <v>72</v>
      </c>
      <c r="P4" s="18">
        <v>497000</v>
      </c>
      <c r="Q4" s="18">
        <v>12568.05</v>
      </c>
      <c r="R4" s="16">
        <f t="shared" si="1"/>
        <v>1.855999177746296E-2</v>
      </c>
      <c r="S4" s="17">
        <f t="shared" si="2"/>
        <v>3.711998355492592E-2</v>
      </c>
      <c r="T4" s="17">
        <f t="shared" si="3"/>
        <v>3.1999985823212E-2</v>
      </c>
      <c r="U4" s="17">
        <f t="shared" si="4"/>
        <v>0.38399982987854397</v>
      </c>
      <c r="AM4" s="1">
        <v>48</v>
      </c>
      <c r="AN4" s="3">
        <v>1000000</v>
      </c>
      <c r="AO4" s="3">
        <v>40861.94</v>
      </c>
      <c r="AP4" s="16">
        <f t="shared" si="0"/>
        <v>3.1745146321137355E-2</v>
      </c>
      <c r="AQ4" s="16">
        <f t="shared" si="5"/>
        <v>6.3490292642274709E-2</v>
      </c>
      <c r="AR4" s="16">
        <f t="shared" si="6"/>
        <v>5.4733010898512686E-2</v>
      </c>
      <c r="AS4" s="16">
        <f t="shared" si="7"/>
        <v>0.65679613078215227</v>
      </c>
      <c r="AT4" s="16">
        <v>0.91200000000000003</v>
      </c>
      <c r="AU4" s="16">
        <f t="shared" si="8"/>
        <v>1.05792</v>
      </c>
    </row>
    <row r="5" spans="1:47" s="1" customFormat="1" x14ac:dyDescent="0.25">
      <c r="A5" s="2"/>
      <c r="B5" s="2"/>
      <c r="C5" s="2"/>
      <c r="D5" s="2"/>
      <c r="E5" s="2"/>
      <c r="F5" s="2"/>
      <c r="G5" s="31"/>
      <c r="H5" s="31"/>
      <c r="I5" s="31"/>
      <c r="J5" s="2"/>
      <c r="K5" s="2"/>
      <c r="L5" s="2"/>
      <c r="M5" s="2"/>
      <c r="N5" s="2"/>
      <c r="O5" s="15">
        <v>96</v>
      </c>
      <c r="P5" s="18">
        <v>497000</v>
      </c>
      <c r="Q5" s="18">
        <v>11128.57</v>
      </c>
      <c r="R5" s="16">
        <f t="shared" si="1"/>
        <v>1.8559997634293605E-2</v>
      </c>
      <c r="S5" s="17">
        <f t="shared" si="2"/>
        <v>3.7119995268587211E-2</v>
      </c>
      <c r="T5" s="17">
        <f t="shared" si="3"/>
        <v>3.1999995921195873E-2</v>
      </c>
      <c r="U5" s="17">
        <f t="shared" si="4"/>
        <v>0.38399995105435047</v>
      </c>
      <c r="AM5" s="1">
        <v>60</v>
      </c>
      <c r="AN5" s="3">
        <v>1000000</v>
      </c>
      <c r="AO5" s="3">
        <v>36772.400000000001</v>
      </c>
      <c r="AP5" s="16">
        <f t="shared" si="0"/>
        <v>3.0822941290837402E-2</v>
      </c>
      <c r="AQ5" s="16">
        <f t="shared" si="5"/>
        <v>6.1645882581674805E-2</v>
      </c>
      <c r="AR5" s="16">
        <f t="shared" si="6"/>
        <v>5.3143002225581729E-2</v>
      </c>
      <c r="AS5" s="16">
        <f t="shared" si="7"/>
        <v>0.6377160267069808</v>
      </c>
      <c r="AT5" s="16">
        <v>0.876</v>
      </c>
      <c r="AU5" s="16">
        <f t="shared" si="8"/>
        <v>1.01616</v>
      </c>
    </row>
    <row r="6" spans="1:47" s="1" customFormat="1" x14ac:dyDescent="0.25">
      <c r="A6" s="2"/>
      <c r="B6" s="2"/>
      <c r="C6" s="28" t="str">
        <f>IF(E4="MONTO","Ingrese el Monto:","Ingrese la capacidad:")</f>
        <v>Ingrese el Monto:</v>
      </c>
      <c r="D6" s="28"/>
      <c r="E6" s="22">
        <v>150000</v>
      </c>
      <c r="F6" s="2"/>
      <c r="G6" s="31"/>
      <c r="H6" s="31"/>
      <c r="I6" s="31"/>
      <c r="J6" s="2"/>
      <c r="K6" s="2"/>
      <c r="L6" s="2"/>
      <c r="M6" s="2"/>
      <c r="N6" s="2"/>
      <c r="O6" s="4"/>
      <c r="P6" s="4"/>
      <c r="Q6" s="4"/>
      <c r="AM6" s="1">
        <v>72</v>
      </c>
      <c r="AN6" s="3">
        <v>1000000</v>
      </c>
      <c r="AO6" s="3">
        <v>34045.49</v>
      </c>
      <c r="AP6" s="16">
        <f t="shared" si="0"/>
        <v>2.998948305256155E-2</v>
      </c>
      <c r="AQ6" s="16">
        <f t="shared" si="5"/>
        <v>5.9978966105123099E-2</v>
      </c>
      <c r="AR6" s="16">
        <f t="shared" si="6"/>
        <v>5.1706005263037161E-2</v>
      </c>
      <c r="AS6" s="16">
        <f t="shared" si="7"/>
        <v>0.62047206315644599</v>
      </c>
      <c r="AT6" s="16">
        <v>0.84499999999999997</v>
      </c>
      <c r="AU6" s="16">
        <f t="shared" si="8"/>
        <v>0.98019999999999985</v>
      </c>
    </row>
    <row r="7" spans="1:47" s="1" customFormat="1" x14ac:dyDescent="0.25">
      <c r="A7" s="2"/>
      <c r="B7" s="2"/>
      <c r="C7" s="2"/>
      <c r="D7" s="2"/>
      <c r="E7" s="2"/>
      <c r="F7" s="12"/>
      <c r="G7" s="12"/>
      <c r="H7" s="10"/>
      <c r="I7" s="13"/>
      <c r="J7" s="2"/>
      <c r="K7" s="2"/>
      <c r="L7" s="2"/>
      <c r="M7" s="2"/>
      <c r="N7" s="2"/>
      <c r="AM7" s="1">
        <v>84</v>
      </c>
      <c r="AN7" s="3">
        <v>1000000</v>
      </c>
      <c r="AO7" s="3">
        <v>32096.38</v>
      </c>
      <c r="AP7" s="16">
        <f t="shared" ref="AP7:AP10" si="9">RATE(AM7,-AO7,AN7,0,0)</f>
        <v>2.9246500191878754E-2</v>
      </c>
      <c r="AQ7" s="16">
        <f t="shared" ref="AQ7:AQ10" si="10">AP7*2</f>
        <v>5.8493000383757508E-2</v>
      </c>
      <c r="AR7" s="16">
        <f t="shared" ref="AR7:AR10" si="11">AQ7/1.16</f>
        <v>5.0425000330825441E-2</v>
      </c>
      <c r="AS7" s="16">
        <f t="shared" ref="AS7:AS10" si="12">AR7*12</f>
        <v>0.60510000396990526</v>
      </c>
      <c r="AT7" s="16">
        <v>0.81799999999999995</v>
      </c>
      <c r="AU7" s="16">
        <f t="shared" si="8"/>
        <v>0.94887999999999983</v>
      </c>
    </row>
    <row r="8" spans="1:47" s="1" customFormat="1" x14ac:dyDescent="0.25">
      <c r="A8" s="2"/>
      <c r="B8" s="2"/>
      <c r="C8" s="11" t="s">
        <v>3</v>
      </c>
      <c r="D8" s="11" t="s">
        <v>4</v>
      </c>
      <c r="E8" s="11" t="s">
        <v>19</v>
      </c>
      <c r="F8" s="11" t="s">
        <v>23</v>
      </c>
      <c r="G8" s="11" t="s">
        <v>24</v>
      </c>
      <c r="H8" s="11" t="s">
        <v>9</v>
      </c>
      <c r="I8" s="11" t="s">
        <v>6</v>
      </c>
      <c r="J8" s="11" t="s">
        <v>10</v>
      </c>
      <c r="K8" s="11" t="s">
        <v>11</v>
      </c>
      <c r="L8" s="11" t="s">
        <v>5</v>
      </c>
      <c r="M8" s="2"/>
      <c r="N8" s="2"/>
      <c r="AM8" s="1">
        <v>96</v>
      </c>
      <c r="AN8" s="3">
        <v>1000000</v>
      </c>
      <c r="AO8" s="3">
        <v>30633.77</v>
      </c>
      <c r="AP8" s="16">
        <f t="shared" si="9"/>
        <v>2.8587044166531184E-2</v>
      </c>
      <c r="AQ8" s="16">
        <f t="shared" si="10"/>
        <v>5.7174088333062367E-2</v>
      </c>
      <c r="AR8" s="16">
        <f t="shared" si="11"/>
        <v>4.9288007183674459E-2</v>
      </c>
      <c r="AS8" s="16">
        <f t="shared" si="12"/>
        <v>0.59145608620409351</v>
      </c>
      <c r="AT8" s="16">
        <v>0.79400000000000004</v>
      </c>
      <c r="AU8" s="16">
        <f t="shared" si="8"/>
        <v>0.92103999999999997</v>
      </c>
    </row>
    <row r="9" spans="1:47" s="1" customFormat="1" x14ac:dyDescent="0.25">
      <c r="A9" s="2">
        <v>24</v>
      </c>
      <c r="B9" s="2"/>
      <c r="C9" s="7" t="str">
        <f>CONCATENATE(A9," Q")</f>
        <v>24 Q</v>
      </c>
      <c r="D9" s="8">
        <f>IF(IF($E$4="MONTO",IF((IF(MOD($E$6,500)=0,$E$6,$E$6-MOD($E$6,500)))&gt;1000000,1000000,IF(MOD($E$6,500)=0,$E$6,$E$6-MOD($E$6,500))),IF(((1-(1+(F9/2))^(-A9))/((F9/2)))*$E$6&gt;1000000,1000000,IF(MOD(((1-(1+(F9/2))^(-A9))/(F9))*$E$6,500)=0,((1-(1+(F9/2))^(-A9))/((F9/2)))*$E$6,((1-(1+(F9/2))^(-A9))/((F9/2)))*$E$6-MOD(((1-(1+(F9/2))^(-A9))/((F9/2)))*$E$6,500))))&lt;5000,0,
IF($E$4="MONTO",IF((IF(MOD($E$6,500)=0,$E$6,$E$6-MOD($E$6,500)))&gt;1000000,1000000,IF(MOD($E$6,500)=0,$E$6,$E$6-MOD($E$6,500))),IF(((1-(1+(F9/2))^(-A9))/((F9/2)))*$E$6&gt;1000000,1000000,IF(MOD(((1-(1+(F9/2))^(-A9))/(F9))*$E$6,500)=0,((1-(1+(F9/2))^(-A9))/((F9/2)))*$E$6,((1-(1+(F9/2))^(-A9))/((F9/2)))*$E$6-MOD(((1-(1+(F9/2))^(-A9))/((F9/2)))*$E$6,500)))))</f>
        <v>150000</v>
      </c>
      <c r="E9" s="8">
        <f>-PMT(F9/2,A9,D9,,0)</f>
        <v>9197.0445000000091</v>
      </c>
      <c r="F9" s="14">
        <f>VLOOKUP(A9,AM1:AQ6,5,0)</f>
        <v>6.7054970164546174E-2</v>
      </c>
      <c r="G9" s="14">
        <f>F9/1.16</f>
        <v>5.7806008762539808E-2</v>
      </c>
      <c r="H9" s="14">
        <f>IFERROR(((L9-I9)/I9)/(A9/2),0)</f>
        <v>3.9293926666666777E-2</v>
      </c>
      <c r="I9" s="8">
        <f>D9</f>
        <v>150000</v>
      </c>
      <c r="J9" s="8">
        <f t="shared" ref="J9:J13" si="13">(L9-I9)/1.16</f>
        <v>60973.334482758801</v>
      </c>
      <c r="K9" s="8">
        <f t="shared" ref="K9:K13" si="14">J9*16%</f>
        <v>9755.7335172414078</v>
      </c>
      <c r="L9" s="8">
        <f>E9*A9</f>
        <v>220729.0680000002</v>
      </c>
      <c r="M9" s="2"/>
      <c r="N9" s="2"/>
      <c r="AM9" s="1">
        <v>108</v>
      </c>
      <c r="AN9" s="3">
        <v>1000000</v>
      </c>
      <c r="AO9" s="3">
        <v>29494.53</v>
      </c>
      <c r="AP9" s="16">
        <f t="shared" si="9"/>
        <v>2.8000079765962273E-2</v>
      </c>
      <c r="AQ9" s="16">
        <f t="shared" si="10"/>
        <v>5.6000159531924547E-2</v>
      </c>
      <c r="AR9" s="16">
        <f t="shared" si="11"/>
        <v>4.8275999596486679E-2</v>
      </c>
      <c r="AS9" s="16">
        <f t="shared" si="12"/>
        <v>0.57931199515784015</v>
      </c>
      <c r="AT9" s="16">
        <v>0.77300000000000002</v>
      </c>
      <c r="AU9" s="16">
        <f t="shared" si="8"/>
        <v>0.89667999999999992</v>
      </c>
    </row>
    <row r="10" spans="1:47" s="1" customFormat="1" x14ac:dyDescent="0.25">
      <c r="A10" s="2">
        <v>36</v>
      </c>
      <c r="B10" s="2"/>
      <c r="C10" s="7" t="str">
        <f t="shared" ref="C10:C13" si="15">CONCATENATE(A10," Q")</f>
        <v>36 Q</v>
      </c>
      <c r="D10" s="8">
        <f t="shared" ref="D10:D17" si="16">IF(IF($E$4="MONTO",IF((IF(MOD($E$6,500)=0,$E$6,$E$6-MOD($E$6,500)))&gt;1000000,1000000,IF(MOD($E$6,500)=0,$E$6,$E$6-MOD($E$6,500))),IF(((1-(1+(F10/2))^(-A10))/((F10/2)))*$E$6&gt;1000000,1000000,IF(MOD(((1-(1+(F10/2))^(-A10))/(F10))*$E$6,500)=0,((1-(1+(F10/2))^(-A10))/((F10/2)))*$E$6,((1-(1+(F10/2))^(-A10))/((F10/2)))*$E$6-MOD(((1-(1+(F10/2))^(-A10))/((F10/2)))*$E$6,500))))&lt;5000,0,
IF($E$4="MONTO",IF((IF(MOD($E$6,500)=0,$E$6,$E$6-MOD($E$6,500)))&gt;1000000,1000000,IF(MOD($E$6,500)=0,$E$6,$E$6-MOD($E$6,500))),IF(((1-(1+(F10/2))^(-A10))/((F10/2)))*$E$6&gt;1000000,1000000,IF(MOD(((1-(1+(F10/2))^(-A10))/(F10))*$E$6,500)=0,((1-(1+(F10/2))^(-A10))/((F10/2)))*$E$6,((1-(1+(F10/2))^(-A10))/((F10/2)))*$E$6-MOD(((1-(1+(F10/2))^(-A10))/((F10/2)))*$E$6,500)))))</f>
        <v>150000</v>
      </c>
      <c r="E10" s="8">
        <f t="shared" ref="E10:E13" si="17">-PMT(F10/2,A10,D10,,0)</f>
        <v>7151.5215000000362</v>
      </c>
      <c r="F10" s="14">
        <f>VLOOKUP(A10,AM2:AQ7,5,0)</f>
        <v>6.5426314199798927E-2</v>
      </c>
      <c r="G10" s="14">
        <f t="shared" ref="G10:G13" si="18">F10/1.16</f>
        <v>5.6401994999826663E-2</v>
      </c>
      <c r="H10" s="14">
        <f>IFERROR(((L10-I10)/I10)/(A10/2),0)</f>
        <v>3.9798064444444926E-2</v>
      </c>
      <c r="I10" s="8">
        <f>D10</f>
        <v>150000</v>
      </c>
      <c r="J10" s="8">
        <f t="shared" si="13"/>
        <v>92633.4258620701</v>
      </c>
      <c r="K10" s="8">
        <f t="shared" si="14"/>
        <v>14821.348137931216</v>
      </c>
      <c r="L10" s="8">
        <f>E10*A10</f>
        <v>257454.77400000131</v>
      </c>
      <c r="M10" s="2"/>
      <c r="N10" s="2"/>
      <c r="AM10" s="1">
        <v>120</v>
      </c>
      <c r="AN10" s="3">
        <v>1000000</v>
      </c>
      <c r="AO10" s="3">
        <v>28582.66</v>
      </c>
      <c r="AP10" s="16">
        <f t="shared" si="9"/>
        <v>2.7477502793214828E-2</v>
      </c>
      <c r="AQ10" s="16">
        <f t="shared" si="10"/>
        <v>5.4955005586429656E-2</v>
      </c>
      <c r="AR10" s="16">
        <f t="shared" si="11"/>
        <v>4.7375004815887641E-2</v>
      </c>
      <c r="AS10" s="16">
        <f t="shared" si="12"/>
        <v>0.56850005779065171</v>
      </c>
      <c r="AT10" s="16">
        <v>0.754</v>
      </c>
      <c r="AU10" s="16">
        <f t="shared" si="8"/>
        <v>0.87463999999999997</v>
      </c>
    </row>
    <row r="11" spans="1:47" s="1" customFormat="1" x14ac:dyDescent="0.25">
      <c r="A11" s="2">
        <v>48</v>
      </c>
      <c r="B11" s="2"/>
      <c r="C11" s="7" t="str">
        <f t="shared" si="15"/>
        <v>48 Q</v>
      </c>
      <c r="D11" s="8">
        <f t="shared" si="16"/>
        <v>150000</v>
      </c>
      <c r="E11" s="8">
        <f t="shared" si="17"/>
        <v>6129.2910000000047</v>
      </c>
      <c r="F11" s="14">
        <f>VLOOKUP(A11,AM3:AQ8,5,0)</f>
        <v>6.3490292642274709E-2</v>
      </c>
      <c r="G11" s="14">
        <f t="shared" si="18"/>
        <v>5.4733010898512686E-2</v>
      </c>
      <c r="H11" s="14">
        <f>IFERROR(((L11-I11)/I11)/(A11/2),0)</f>
        <v>4.0057213333333397E-2</v>
      </c>
      <c r="I11" s="8">
        <f>D11</f>
        <v>150000</v>
      </c>
      <c r="J11" s="8">
        <f t="shared" si="13"/>
        <v>124315.48965517261</v>
      </c>
      <c r="K11" s="8">
        <f t="shared" si="14"/>
        <v>19890.478344827618</v>
      </c>
      <c r="L11" s="8">
        <f>E11*A11</f>
        <v>294205.96800000023</v>
      </c>
      <c r="M11" s="2"/>
      <c r="N11" s="2"/>
      <c r="AN11" s="3"/>
      <c r="AO11" s="3"/>
      <c r="AP11" s="16"/>
      <c r="AQ11" s="16"/>
      <c r="AR11" s="16"/>
      <c r="AS11" s="16"/>
    </row>
    <row r="12" spans="1:47" s="1" customFormat="1" x14ac:dyDescent="0.25">
      <c r="A12" s="2">
        <v>60</v>
      </c>
      <c r="B12" s="2"/>
      <c r="C12" s="7" t="str">
        <f t="shared" si="15"/>
        <v>60 Q</v>
      </c>
      <c r="D12" s="8">
        <f t="shared" si="16"/>
        <v>150000</v>
      </c>
      <c r="E12" s="8">
        <f t="shared" si="17"/>
        <v>5515.8600000000051</v>
      </c>
      <c r="F12" s="14">
        <f>VLOOKUP(A12,AM4:AQ9,5,0)</f>
        <v>6.1645882581674805E-2</v>
      </c>
      <c r="G12" s="14">
        <f t="shared" si="18"/>
        <v>5.3143002225581729E-2</v>
      </c>
      <c r="H12" s="14">
        <f>IFERROR(((L12-I12)/I12)/(A12/2),0)</f>
        <v>4.0211466666666737E-2</v>
      </c>
      <c r="I12" s="8">
        <f>D12</f>
        <v>150000</v>
      </c>
      <c r="J12" s="8">
        <f t="shared" si="13"/>
        <v>155992.75862068994</v>
      </c>
      <c r="K12" s="8">
        <f t="shared" si="14"/>
        <v>24958.84137931039</v>
      </c>
      <c r="L12" s="8">
        <f>E12*A12</f>
        <v>330951.60000000033</v>
      </c>
      <c r="M12" s="2"/>
      <c r="N12" s="2"/>
      <c r="AN12" s="3"/>
      <c r="AO12" s="3"/>
    </row>
    <row r="13" spans="1:47" s="1" customFormat="1" x14ac:dyDescent="0.25">
      <c r="A13" s="2">
        <v>72</v>
      </c>
      <c r="B13" s="2"/>
      <c r="C13" s="7" t="str">
        <f t="shared" si="15"/>
        <v>72 Q</v>
      </c>
      <c r="D13" s="8">
        <f t="shared" si="16"/>
        <v>150000</v>
      </c>
      <c r="E13" s="8">
        <f t="shared" si="17"/>
        <v>5106.8235000000504</v>
      </c>
      <c r="F13" s="14">
        <f>VLOOKUP(A13,AM5:AQ10,5,0)</f>
        <v>5.9978966105123099E-2</v>
      </c>
      <c r="G13" s="14">
        <f t="shared" si="18"/>
        <v>5.1706005263037161E-2</v>
      </c>
      <c r="H13" s="14">
        <f>IFERROR(((L13-I13)/I13)/(A13/2),0)</f>
        <v>4.0313202222222892E-2</v>
      </c>
      <c r="I13" s="8">
        <f>D13</f>
        <v>150000</v>
      </c>
      <c r="J13" s="8">
        <f t="shared" si="13"/>
        <v>187664.90689655486</v>
      </c>
      <c r="K13" s="8">
        <f t="shared" si="14"/>
        <v>30026.385103448778</v>
      </c>
      <c r="L13" s="8">
        <f>E13*A13</f>
        <v>367691.29200000362</v>
      </c>
      <c r="M13" s="2"/>
      <c r="N13" s="2"/>
      <c r="AN13" s="3"/>
      <c r="AO13" s="3"/>
    </row>
    <row r="14" spans="1:47" s="1" customFormat="1" x14ac:dyDescent="0.25">
      <c r="A14" s="2">
        <v>84</v>
      </c>
      <c r="B14" s="2"/>
      <c r="C14" s="7" t="str">
        <f t="shared" ref="C14:C17" si="19">CONCATENATE(A14," Q")</f>
        <v>84 Q</v>
      </c>
      <c r="D14" s="8">
        <f t="shared" si="16"/>
        <v>150000</v>
      </c>
      <c r="E14" s="8">
        <f t="shared" ref="E14:E17" si="20">-PMT(F14/2,A14,D14,,0)</f>
        <v>4814.4569999999994</v>
      </c>
      <c r="F14" s="14">
        <f t="shared" ref="F14:F17" si="21">VLOOKUP(A14,AM6:AQ11,5,0)</f>
        <v>5.8493000383757508E-2</v>
      </c>
      <c r="G14" s="14">
        <f t="shared" ref="G14:G17" si="22">F14/1.16</f>
        <v>5.0425000330825441E-2</v>
      </c>
      <c r="H14" s="14">
        <f t="shared" ref="H14:H17" si="23">IFERROR(((L14-I14)/I14)/(A14/2),0)</f>
        <v>4.0383236190476186E-2</v>
      </c>
      <c r="I14" s="8">
        <f t="shared" ref="I14:I17" si="24">D14</f>
        <v>150000</v>
      </c>
      <c r="J14" s="8">
        <f t="shared" ref="J14:J17" si="25">(L14-I14)/1.16</f>
        <v>219322.74827586208</v>
      </c>
      <c r="K14" s="8">
        <f t="shared" ref="K14:K17" si="26">J14*16%</f>
        <v>35091.639724137931</v>
      </c>
      <c r="L14" s="8">
        <f t="shared" ref="L14:L17" si="27">E14*A14</f>
        <v>404414.38799999998</v>
      </c>
      <c r="M14" s="2"/>
      <c r="N14" s="2"/>
      <c r="AN14" s="3"/>
      <c r="AO14" s="3"/>
    </row>
    <row r="15" spans="1:47" s="1" customFormat="1" x14ac:dyDescent="0.25">
      <c r="A15" s="2">
        <v>96</v>
      </c>
      <c r="B15" s="2"/>
      <c r="C15" s="7" t="str">
        <f t="shared" si="19"/>
        <v>96 Q</v>
      </c>
      <c r="D15" s="8">
        <f t="shared" si="16"/>
        <v>150000</v>
      </c>
      <c r="E15" s="8">
        <f t="shared" si="20"/>
        <v>4595.0655000000015</v>
      </c>
      <c r="F15" s="14">
        <f t="shared" si="21"/>
        <v>5.7174088333062367E-2</v>
      </c>
      <c r="G15" s="14">
        <f t="shared" si="22"/>
        <v>4.9288007183674459E-2</v>
      </c>
      <c r="H15" s="14">
        <f t="shared" si="23"/>
        <v>4.0434206666666687E-2</v>
      </c>
      <c r="I15" s="8">
        <f t="shared" si="24"/>
        <v>150000</v>
      </c>
      <c r="J15" s="8">
        <f t="shared" si="25"/>
        <v>250970.93793103466</v>
      </c>
      <c r="K15" s="8">
        <f t="shared" si="26"/>
        <v>40155.350068965548</v>
      </c>
      <c r="L15" s="8">
        <f t="shared" si="27"/>
        <v>441126.28800000018</v>
      </c>
      <c r="M15" s="2"/>
      <c r="N15" s="2"/>
      <c r="AN15" s="3"/>
      <c r="AO15" s="3"/>
    </row>
    <row r="16" spans="1:47" s="1" customFormat="1" x14ac:dyDescent="0.25">
      <c r="A16" s="2">
        <v>108</v>
      </c>
      <c r="B16" s="2"/>
      <c r="C16" s="7" t="str">
        <f t="shared" si="19"/>
        <v>108 Q</v>
      </c>
      <c r="D16" s="8">
        <f t="shared" si="16"/>
        <v>150000</v>
      </c>
      <c r="E16" s="8">
        <f t="shared" si="20"/>
        <v>4424.1795000000011</v>
      </c>
      <c r="F16" s="14">
        <f t="shared" si="21"/>
        <v>5.6000159531924547E-2</v>
      </c>
      <c r="G16" s="14">
        <f t="shared" si="22"/>
        <v>4.8275999596486679E-2</v>
      </c>
      <c r="H16" s="14">
        <f t="shared" si="23"/>
        <v>4.0470541481481492E-2</v>
      </c>
      <c r="I16" s="8">
        <f t="shared" si="24"/>
        <v>150000</v>
      </c>
      <c r="J16" s="8">
        <f t="shared" si="25"/>
        <v>282596.02241379319</v>
      </c>
      <c r="K16" s="8">
        <f t="shared" si="26"/>
        <v>45215.363586206913</v>
      </c>
      <c r="L16" s="8">
        <f t="shared" si="27"/>
        <v>477811.38600000012</v>
      </c>
      <c r="M16" s="2"/>
      <c r="N16" s="2"/>
      <c r="AN16" s="3"/>
      <c r="AO16" s="3"/>
    </row>
    <row r="17" spans="1:41" s="1" customFormat="1" x14ac:dyDescent="0.25">
      <c r="A17" s="2">
        <v>120</v>
      </c>
      <c r="B17" s="2"/>
      <c r="C17" s="7" t="str">
        <f t="shared" si="19"/>
        <v>120 Q</v>
      </c>
      <c r="D17" s="8">
        <f t="shared" si="16"/>
        <v>150000</v>
      </c>
      <c r="E17" s="8">
        <f t="shared" si="20"/>
        <v>4287.3990000000013</v>
      </c>
      <c r="F17" s="14">
        <f t="shared" si="21"/>
        <v>5.4955005586429656E-2</v>
      </c>
      <c r="G17" s="14">
        <f t="shared" si="22"/>
        <v>4.7375004815887641E-2</v>
      </c>
      <c r="H17" s="14">
        <f t="shared" si="23"/>
        <v>4.049865333333335E-2</v>
      </c>
      <c r="I17" s="8">
        <f t="shared" si="24"/>
        <v>150000</v>
      </c>
      <c r="J17" s="8">
        <f t="shared" si="25"/>
        <v>314213.68965517252</v>
      </c>
      <c r="K17" s="8">
        <f t="shared" si="26"/>
        <v>50274.190344827606</v>
      </c>
      <c r="L17" s="8">
        <f t="shared" si="27"/>
        <v>514487.88000000012</v>
      </c>
      <c r="M17" s="2"/>
      <c r="N17" s="2"/>
      <c r="AN17" s="3"/>
      <c r="AO17" s="3"/>
    </row>
    <row r="18" spans="1:41" s="1" customFormat="1" x14ac:dyDescent="0.25">
      <c r="A18" s="2"/>
      <c r="B18" s="2"/>
      <c r="C18" s="23" t="s">
        <v>7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AN18" s="3"/>
      <c r="AO18" s="3"/>
    </row>
    <row r="19" spans="1:41" s="1" customFormat="1" x14ac:dyDescent="0.25">
      <c r="A19" s="2"/>
      <c r="B19" s="2"/>
      <c r="C19" s="23" t="s">
        <v>20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AN19" s="3"/>
      <c r="AO19" s="3"/>
    </row>
    <row r="20" spans="1:41" s="1" customForma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AN20" s="3"/>
      <c r="AO20" s="3"/>
    </row>
    <row r="21" spans="1:41" s="1" customForma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AN21" s="3"/>
      <c r="AO21" s="3"/>
    </row>
    <row r="22" spans="1:41" s="1" customForma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AN22" s="3"/>
      <c r="AO22" s="3"/>
    </row>
    <row r="23" spans="1:41" s="1" customFormat="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AN23" s="3"/>
      <c r="AO23" s="3"/>
    </row>
    <row r="24" spans="1:41" s="1" customForma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AN24" s="3"/>
      <c r="AO24" s="3"/>
    </row>
    <row r="25" spans="1:41" s="1" customForma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AN25" s="3"/>
      <c r="AO25" s="3"/>
    </row>
    <row r="26" spans="1:41" s="1" customForma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AN26" s="3"/>
      <c r="AO26" s="3"/>
    </row>
    <row r="27" spans="1:41" s="1" customForma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AN27" s="3"/>
      <c r="AO27" s="3"/>
    </row>
    <row r="28" spans="1:4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4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4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4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41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2:14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</sheetData>
  <sheetProtection algorithmName="SHA-512" hashValue="Q+crYLDEikatFaDd+HziIYCnsKWF3t114fC4CVCfu3wQN/LRohKHZK36fJ/500kzN2VkEB3IamskHjYuTjUYDA==" saltValue="4TYc/RzylcRai4NlD4AD6A==" spinCount="100000" sheet="1" objects="1" scenarios="1" selectLockedCells="1"/>
  <mergeCells count="6">
    <mergeCell ref="C2:D2"/>
    <mergeCell ref="C3:D3"/>
    <mergeCell ref="C4:D4"/>
    <mergeCell ref="C6:D6"/>
    <mergeCell ref="E2:G2"/>
    <mergeCell ref="G4:I6"/>
  </mergeCells>
  <dataValidations count="2">
    <dataValidation type="list" allowBlank="1" showInputMessage="1" showErrorMessage="1" sqref="E4">
      <formula1>"Monto, Capacidad"</formula1>
    </dataValidation>
    <dataValidation type="custom" allowBlank="1" showInputMessage="1" showErrorMessage="1" sqref="E6">
      <formula1>E6&gt;=0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28"/>
  <sheetViews>
    <sheetView showGridLines="0" topLeftCell="B1" zoomScale="160" zoomScaleNormal="160" workbookViewId="0">
      <selection activeCell="E6" sqref="E6"/>
    </sheetView>
  </sheetViews>
  <sheetFormatPr baseColWidth="10" defaultRowHeight="15" x14ac:dyDescent="0.25"/>
  <cols>
    <col min="1" max="1" width="4.140625" style="9" hidden="1" customWidth="1"/>
    <col min="2" max="2" width="4.42578125" style="9" customWidth="1"/>
    <col min="3" max="3" width="11.42578125" style="9"/>
    <col min="4" max="4" width="15.140625" style="9" customWidth="1"/>
    <col min="5" max="5" width="14.42578125" style="9" bestFit="1" customWidth="1"/>
    <col min="6" max="6" width="13.5703125" style="9" bestFit="1" customWidth="1"/>
    <col min="7" max="7" width="11.140625" style="9" bestFit="1" customWidth="1"/>
    <col min="8" max="8" width="14.42578125" style="9" bestFit="1" customWidth="1"/>
    <col min="9" max="12" width="14.7109375" style="9" customWidth="1"/>
    <col min="13" max="14" width="11.42578125" style="9"/>
    <col min="15" max="20" width="0" style="9" hidden="1" customWidth="1"/>
    <col min="21" max="21" width="13.140625" style="9" hidden="1" customWidth="1"/>
    <col min="22" max="38" width="11.42578125" style="9"/>
    <col min="39" max="39" width="8.5703125" style="9" bestFit="1" customWidth="1"/>
    <col min="40" max="40" width="14.42578125" style="24" bestFit="1" customWidth="1"/>
    <col min="41" max="41" width="17.140625" style="24" bestFit="1" customWidth="1"/>
    <col min="42" max="42" width="16.5703125" style="9" bestFit="1" customWidth="1"/>
    <col min="43" max="43" width="14.5703125" style="9" bestFit="1" customWidth="1"/>
    <col min="44" max="44" width="12.5703125" style="9" bestFit="1" customWidth="1"/>
    <col min="45" max="45" width="12.140625" style="9" bestFit="1" customWidth="1"/>
    <col min="46" max="16384" width="11.42578125" style="9"/>
  </cols>
  <sheetData>
    <row r="1" spans="1:47" s="1" customForma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4" t="s">
        <v>12</v>
      </c>
      <c r="P1" s="1" t="s">
        <v>13</v>
      </c>
      <c r="Q1" s="1" t="s">
        <v>14</v>
      </c>
      <c r="R1" s="1" t="s">
        <v>16</v>
      </c>
      <c r="S1" s="1" t="s">
        <v>15</v>
      </c>
      <c r="T1" s="1" t="s">
        <v>17</v>
      </c>
      <c r="U1" s="1" t="s">
        <v>18</v>
      </c>
      <c r="AM1" s="4" t="s">
        <v>12</v>
      </c>
      <c r="AN1" s="1" t="s">
        <v>13</v>
      </c>
      <c r="AO1" s="1" t="s">
        <v>14</v>
      </c>
      <c r="AP1" s="1" t="s">
        <v>16</v>
      </c>
      <c r="AQ1" s="1" t="s">
        <v>15</v>
      </c>
      <c r="AR1" s="1" t="s">
        <v>17</v>
      </c>
      <c r="AS1" s="1" t="s">
        <v>18</v>
      </c>
      <c r="AT1" s="1" t="s">
        <v>21</v>
      </c>
      <c r="AU1" s="1" t="s">
        <v>22</v>
      </c>
    </row>
    <row r="2" spans="1:47" s="1" customFormat="1" x14ac:dyDescent="0.25">
      <c r="A2" s="2"/>
      <c r="B2" s="2"/>
      <c r="C2" s="28" t="s">
        <v>0</v>
      </c>
      <c r="D2" s="28"/>
      <c r="E2" s="29" t="s">
        <v>26</v>
      </c>
      <c r="F2" s="29"/>
      <c r="G2" s="29"/>
      <c r="H2" s="2"/>
      <c r="I2" s="2"/>
      <c r="J2" s="2"/>
      <c r="K2" s="2"/>
      <c r="L2" s="2"/>
      <c r="M2" s="2"/>
      <c r="N2" s="2"/>
      <c r="O2" s="15">
        <v>24</v>
      </c>
      <c r="P2" s="18">
        <v>497000</v>
      </c>
      <c r="Q2" s="19">
        <v>25850.25</v>
      </c>
      <c r="R2" s="16">
        <f>RATE(O2,-Q2,P2,0,0)</f>
        <v>1.8560002435494275E-2</v>
      </c>
      <c r="S2" s="17">
        <f>R2*2</f>
        <v>3.712000487098855E-2</v>
      </c>
      <c r="T2" s="17">
        <f>S2/1.16</f>
        <v>3.200000419912806E-2</v>
      </c>
      <c r="U2" s="17">
        <f>T2*12</f>
        <v>0.38400005038953672</v>
      </c>
      <c r="AM2" s="1">
        <v>72</v>
      </c>
      <c r="AN2" s="3">
        <v>1000000</v>
      </c>
      <c r="AO2" s="3">
        <v>25495.46</v>
      </c>
      <c r="AP2" s="16">
        <f t="shared" ref="AP2:AP4" si="0">RATE(AM2,-AO2,AN2,0,0)</f>
        <v>1.8850005221333083E-2</v>
      </c>
      <c r="AQ2" s="16">
        <f>AP2*2</f>
        <v>3.7700010442666167E-2</v>
      </c>
      <c r="AR2" s="16">
        <f>AQ2/1.16</f>
        <v>3.2500009002298422E-2</v>
      </c>
      <c r="AS2" s="16">
        <f>AR2*12</f>
        <v>0.39000010802758106</v>
      </c>
      <c r="AT2" s="16">
        <v>0.47199999999999998</v>
      </c>
      <c r="AU2" s="16">
        <f>AT2*1.16</f>
        <v>0.5475199999999999</v>
      </c>
    </row>
    <row r="3" spans="1:47" s="1" customFormat="1" x14ac:dyDescent="0.25">
      <c r="A3" s="2"/>
      <c r="B3" s="2"/>
      <c r="C3" s="28" t="s">
        <v>1</v>
      </c>
      <c r="D3" s="28"/>
      <c r="E3" s="26" t="s">
        <v>2</v>
      </c>
      <c r="F3" s="2"/>
      <c r="G3" s="2"/>
      <c r="H3" s="2"/>
      <c r="I3" s="2"/>
      <c r="J3" s="2"/>
      <c r="K3" s="2"/>
      <c r="L3" s="2"/>
      <c r="M3" s="2"/>
      <c r="N3" s="2"/>
      <c r="O3" s="15">
        <v>48</v>
      </c>
      <c r="P3" s="18">
        <v>497000</v>
      </c>
      <c r="Q3" s="18">
        <v>15732</v>
      </c>
      <c r="R3" s="16">
        <f t="shared" ref="R3:R5" si="1">RATE(O3,-Q3,P3,0,0)</f>
        <v>1.8559989355188038E-2</v>
      </c>
      <c r="S3" s="17">
        <f t="shared" ref="S3:S5" si="2">R3*2</f>
        <v>3.7119978710376075E-2</v>
      </c>
      <c r="T3" s="17">
        <f t="shared" ref="T3:T5" si="3">S3/1.16</f>
        <v>3.1999981646875932E-2</v>
      </c>
      <c r="U3" s="17">
        <f t="shared" ref="U3:U5" si="4">T3*12</f>
        <v>0.38399977976251121</v>
      </c>
      <c r="AM3" s="1">
        <v>96</v>
      </c>
      <c r="AN3" s="3">
        <v>1000000</v>
      </c>
      <c r="AO3" s="3">
        <v>22168.45</v>
      </c>
      <c r="AP3" s="16">
        <f t="shared" si="0"/>
        <v>1.8269996211090368E-2</v>
      </c>
      <c r="AQ3" s="16">
        <f t="shared" ref="AQ3:AQ4" si="5">AP3*2</f>
        <v>3.6539992422180735E-2</v>
      </c>
      <c r="AR3" s="16">
        <f t="shared" ref="AR3:AR4" si="6">AQ3/1.16</f>
        <v>3.1499993467397187E-2</v>
      </c>
      <c r="AS3" s="16">
        <f t="shared" ref="AS3:AS4" si="7">AR3*12</f>
        <v>0.37799992160876628</v>
      </c>
      <c r="AT3" s="16">
        <v>0.45500000000000002</v>
      </c>
      <c r="AU3" s="16">
        <f t="shared" ref="AU3:AU4" si="8">AT3*1.16</f>
        <v>0.52779999999999994</v>
      </c>
    </row>
    <row r="4" spans="1:47" s="1" customFormat="1" ht="15" customHeight="1" x14ac:dyDescent="0.25">
      <c r="A4" s="2"/>
      <c r="B4" s="2"/>
      <c r="C4" s="28" t="s">
        <v>8</v>
      </c>
      <c r="D4" s="28"/>
      <c r="E4" s="21" t="s">
        <v>25</v>
      </c>
      <c r="F4" s="2"/>
      <c r="G4" s="31" t="s">
        <v>28</v>
      </c>
      <c r="H4" s="31"/>
      <c r="I4" s="31"/>
      <c r="J4" s="2"/>
      <c r="K4" s="2"/>
      <c r="L4" s="2"/>
      <c r="M4" s="2"/>
      <c r="N4" s="2"/>
      <c r="O4" s="15">
        <v>72</v>
      </c>
      <c r="P4" s="18">
        <v>497000</v>
      </c>
      <c r="Q4" s="18">
        <v>12568.05</v>
      </c>
      <c r="R4" s="16">
        <f t="shared" si="1"/>
        <v>1.855999177746296E-2</v>
      </c>
      <c r="S4" s="17">
        <f t="shared" si="2"/>
        <v>3.711998355492592E-2</v>
      </c>
      <c r="T4" s="17">
        <f t="shared" si="3"/>
        <v>3.1999985823212E-2</v>
      </c>
      <c r="U4" s="17">
        <f t="shared" si="4"/>
        <v>0.38399982987854397</v>
      </c>
      <c r="AM4" s="1">
        <v>120</v>
      </c>
      <c r="AN4" s="3">
        <v>1000000</v>
      </c>
      <c r="AO4" s="3">
        <v>19912.580000000002</v>
      </c>
      <c r="AP4" s="16">
        <f t="shared" si="0"/>
        <v>1.7400002962518188E-2</v>
      </c>
      <c r="AQ4" s="16">
        <f t="shared" si="5"/>
        <v>3.4800005925036376E-2</v>
      </c>
      <c r="AR4" s="16">
        <f t="shared" si="6"/>
        <v>3.0000005107789982E-2</v>
      </c>
      <c r="AS4" s="16">
        <f t="shared" si="7"/>
        <v>0.36000006129347978</v>
      </c>
      <c r="AT4" s="16">
        <v>0.43</v>
      </c>
      <c r="AU4" s="16">
        <f t="shared" si="8"/>
        <v>0.49879999999999997</v>
      </c>
    </row>
    <row r="5" spans="1:47" s="1" customFormat="1" x14ac:dyDescent="0.25">
      <c r="A5" s="2"/>
      <c r="B5" s="2"/>
      <c r="C5" s="2"/>
      <c r="D5" s="2"/>
      <c r="E5" s="2"/>
      <c r="F5" s="2"/>
      <c r="G5" s="31"/>
      <c r="H5" s="31"/>
      <c r="I5" s="31"/>
      <c r="J5" s="2"/>
      <c r="K5" s="2"/>
      <c r="L5" s="2"/>
      <c r="M5" s="2"/>
      <c r="N5" s="2"/>
      <c r="O5" s="15">
        <v>96</v>
      </c>
      <c r="P5" s="18">
        <v>497000</v>
      </c>
      <c r="Q5" s="18">
        <v>11128.57</v>
      </c>
      <c r="R5" s="16">
        <f t="shared" si="1"/>
        <v>1.8559997634293605E-2</v>
      </c>
      <c r="S5" s="17">
        <f t="shared" si="2"/>
        <v>3.7119995268587211E-2</v>
      </c>
      <c r="T5" s="17">
        <f t="shared" si="3"/>
        <v>3.1999995921195873E-2</v>
      </c>
      <c r="U5" s="17">
        <f t="shared" si="4"/>
        <v>0.38399995105435047</v>
      </c>
      <c r="AN5" s="3"/>
      <c r="AO5" s="3"/>
      <c r="AP5" s="16"/>
      <c r="AQ5" s="16"/>
      <c r="AR5" s="16"/>
      <c r="AS5" s="16"/>
      <c r="AT5" s="16"/>
      <c r="AU5" s="16"/>
    </row>
    <row r="6" spans="1:47" s="1" customFormat="1" x14ac:dyDescent="0.25">
      <c r="A6" s="2"/>
      <c r="B6" s="2"/>
      <c r="C6" s="28" t="str">
        <f>IF(E4="MONTO","Ingrese el Monto:","Ingrese la capacidad:")</f>
        <v>Ingrese el Monto:</v>
      </c>
      <c r="D6" s="28"/>
      <c r="E6" s="22">
        <v>61000</v>
      </c>
      <c r="F6" s="2"/>
      <c r="G6" s="31"/>
      <c r="H6" s="31"/>
      <c r="I6" s="31"/>
      <c r="J6" s="5"/>
      <c r="K6" s="6"/>
      <c r="L6" s="2"/>
      <c r="M6" s="2"/>
      <c r="N6" s="2"/>
      <c r="O6" s="4"/>
      <c r="P6" s="4"/>
      <c r="Q6" s="4"/>
      <c r="AN6" s="3"/>
      <c r="AO6" s="3"/>
      <c r="AP6" s="16"/>
      <c r="AQ6" s="16"/>
      <c r="AR6" s="16"/>
      <c r="AS6" s="16"/>
      <c r="AT6" s="16"/>
      <c r="AU6" s="16"/>
    </row>
    <row r="7" spans="1:47" s="1" customFormat="1" x14ac:dyDescent="0.25">
      <c r="A7" s="2"/>
      <c r="B7" s="2"/>
      <c r="C7" s="2"/>
      <c r="D7" s="2"/>
      <c r="E7" s="2"/>
      <c r="F7" s="12"/>
      <c r="G7" s="12"/>
      <c r="H7" s="10"/>
      <c r="I7" s="13"/>
      <c r="J7" s="2"/>
      <c r="K7" s="2"/>
      <c r="L7" s="2"/>
      <c r="M7" s="2"/>
      <c r="N7" s="2"/>
      <c r="AN7" s="3"/>
      <c r="AO7" s="3"/>
      <c r="AP7" s="16"/>
      <c r="AQ7" s="16"/>
      <c r="AR7" s="16"/>
      <c r="AS7" s="16"/>
      <c r="AT7" s="16"/>
      <c r="AU7" s="16"/>
    </row>
    <row r="8" spans="1:47" s="1" customFormat="1" x14ac:dyDescent="0.25">
      <c r="A8" s="2"/>
      <c r="B8" s="2"/>
      <c r="C8" s="11" t="s">
        <v>3</v>
      </c>
      <c r="D8" s="11" t="s">
        <v>4</v>
      </c>
      <c r="E8" s="11" t="s">
        <v>19</v>
      </c>
      <c r="F8" s="11" t="s">
        <v>23</v>
      </c>
      <c r="G8" s="11" t="s">
        <v>24</v>
      </c>
      <c r="H8" s="11" t="s">
        <v>9</v>
      </c>
      <c r="I8" s="11" t="s">
        <v>6</v>
      </c>
      <c r="J8" s="11" t="s">
        <v>10</v>
      </c>
      <c r="K8" s="11" t="s">
        <v>11</v>
      </c>
      <c r="L8" s="11" t="s">
        <v>5</v>
      </c>
      <c r="M8" s="2"/>
      <c r="N8" s="2"/>
      <c r="AN8" s="3"/>
      <c r="AO8" s="3"/>
      <c r="AP8" s="16"/>
      <c r="AQ8" s="16"/>
      <c r="AR8" s="16"/>
      <c r="AS8" s="16"/>
      <c r="AT8" s="16"/>
      <c r="AU8" s="16"/>
    </row>
    <row r="9" spans="1:47" s="1" customFormat="1" x14ac:dyDescent="0.25">
      <c r="A9" s="2">
        <v>72</v>
      </c>
      <c r="B9" s="2"/>
      <c r="C9" s="7" t="str">
        <f>CONCATENATE(A9," Q")</f>
        <v>72 Q</v>
      </c>
      <c r="D9" s="8">
        <f>IF(IF($E$4="MONTO",IF((IF(MOD($E$6,500)=0,$E$6,$E$6-MOD($E$6,500)))&gt;1000000,1000000,IF(MOD($E$6,500)=0,$E$6,$E$6-MOD($E$6,500))),IF(((1-(1+(F9/2))^(-A9))/((F9/2)))*$E$6&gt;1000000,1000000,IF(MOD(((1-(1+(F9/2))^(-A9))/(F9))*$E$6,500)=0,((1-(1+(F9/2))^(-A9))/((F9/2)))*$E$6,((1-(1+(F9/2))^(-A9))/((F9/2)))*$E$6-MOD(((1-(1+(F9/2))^(-A9))/((F9/2)))*$E$6,500))))&lt;40000,0,
IF($E$4="MONTO",IF((IF(MOD($E$6,500)=0,$E$6,$E$6-MOD($E$6,500)))&gt;1000000,1000000,IF(MOD($E$6,500)=0,$E$6,$E$6-MOD($E$6,500))),IF(((1-(1+(F9/2))^(-A9))/((F9/2)))*$E$6&gt;1000000,1000000,IF(MOD(((1-(1+(F9/2))^(-A9))/(F9))*$E$6,500)=0,((1-(1+(F9/2))^(-A9))/((F9/2)))*$E$6,((1-(1+(F9/2))^(-A9))/((F9/2)))*$E$6-MOD(((1-(1+(F9/2))^(-A9))/((F9/2)))*$E$6,500)))))</f>
        <v>61000</v>
      </c>
      <c r="E9" s="8">
        <f>-PMT(F9/2,A9,D9,,0)</f>
        <v>1555.223060000026</v>
      </c>
      <c r="F9" s="14">
        <f>VLOOKUP(A9,AM1:AQ6,5,0)</f>
        <v>3.7700010442666167E-2</v>
      </c>
      <c r="G9" s="14">
        <f>F9/1.16</f>
        <v>3.2500009002298422E-2</v>
      </c>
      <c r="H9" s="14">
        <f>IFERROR(((L9-I9)/I9)/(A9/2),0)</f>
        <v>2.3213142222223072E-2</v>
      </c>
      <c r="I9" s="8">
        <f>D9</f>
        <v>61000</v>
      </c>
      <c r="J9" s="8">
        <f t="shared" ref="J9:J11" si="9">(L9-I9)/1.16</f>
        <v>43944.87958620851</v>
      </c>
      <c r="K9" s="8">
        <f t="shared" ref="K9:K11" si="10">J9*16%</f>
        <v>7031.1807337933615</v>
      </c>
      <c r="L9" s="8">
        <f>E9*A9</f>
        <v>111976.06032000187</v>
      </c>
      <c r="M9" s="2"/>
      <c r="N9" s="2"/>
      <c r="AN9" s="3"/>
      <c r="AO9" s="3"/>
      <c r="AP9" s="16"/>
      <c r="AQ9" s="16"/>
      <c r="AR9" s="16"/>
      <c r="AS9" s="16"/>
      <c r="AT9" s="16"/>
      <c r="AU9" s="16"/>
    </row>
    <row r="10" spans="1:47" s="1" customFormat="1" x14ac:dyDescent="0.25">
      <c r="A10" s="2">
        <v>96</v>
      </c>
      <c r="B10" s="2"/>
      <c r="C10" s="7" t="str">
        <f t="shared" ref="C10:C11" si="11">CONCATENATE(A10," Q")</f>
        <v>96 Q</v>
      </c>
      <c r="D10" s="8">
        <f t="shared" ref="D10:D11" si="12">IF(IF($E$4="MONTO",IF((IF(MOD($E$6,500)=0,$E$6,$E$6-MOD($E$6,500)))&gt;1000000,1000000,IF(MOD($E$6,500)=0,$E$6,$E$6-MOD($E$6,500))),IF(((1-(1+(F10/2))^(-A10))/((F10/2)))*$E$6&gt;1000000,1000000,IF(MOD(((1-(1+(F10/2))^(-A10))/(F10))*$E$6,500)=0,((1-(1+(F10/2))^(-A10))/((F10/2)))*$E$6,((1-(1+(F10/2))^(-A10))/((F10/2)))*$E$6-MOD(((1-(1+(F10/2))^(-A10))/((F10/2)))*$E$6,500))))&lt;40000,0,
IF($E$4="MONTO",IF((IF(MOD($E$6,500)=0,$E$6,$E$6-MOD($E$6,500)))&gt;1000000,1000000,IF(MOD($E$6,500)=0,$E$6,$E$6-MOD($E$6,500))),IF(((1-(1+(F10/2))^(-A10))/((F10/2)))*$E$6&gt;1000000,1000000,IF(MOD(((1-(1+(F10/2))^(-A10))/(F10))*$E$6,500)=0,((1-(1+(F10/2))^(-A10))/((F10/2)))*$E$6,((1-(1+(F10/2))^(-A10))/((F10/2)))*$E$6-MOD(((1-(1+(F10/2))^(-A10))/((F10/2)))*$E$6,500)))))</f>
        <v>61000</v>
      </c>
      <c r="E10" s="8">
        <f t="shared" ref="E10:E11" si="13">-PMT(F10/2,A10,D10,,0)</f>
        <v>1352.2754500000046</v>
      </c>
      <c r="F10" s="14">
        <f>VLOOKUP(A10,AM2:AQ7,5,0)</f>
        <v>3.6539992422180735E-2</v>
      </c>
      <c r="G10" s="14">
        <f t="shared" ref="G10:G11" si="14">F10/1.16</f>
        <v>3.1499993467397187E-2</v>
      </c>
      <c r="H10" s="14">
        <f>IFERROR(((L10-I10)/I10)/(A10/2),0)</f>
        <v>2.3503566666666819E-2</v>
      </c>
      <c r="I10" s="8">
        <f>D10</f>
        <v>61000</v>
      </c>
      <c r="J10" s="8">
        <f t="shared" si="9"/>
        <v>59326.244137931426</v>
      </c>
      <c r="K10" s="8">
        <f t="shared" si="10"/>
        <v>9492.1990620690285</v>
      </c>
      <c r="L10" s="8">
        <f>E10*A10</f>
        <v>129818.44320000045</v>
      </c>
      <c r="M10" s="2"/>
      <c r="N10" s="2"/>
      <c r="AN10" s="3"/>
      <c r="AO10" s="3"/>
      <c r="AP10" s="16"/>
      <c r="AQ10" s="16"/>
      <c r="AR10" s="16"/>
      <c r="AS10" s="16"/>
      <c r="AT10" s="16"/>
      <c r="AU10" s="16"/>
    </row>
    <row r="11" spans="1:47" s="1" customFormat="1" x14ac:dyDescent="0.25">
      <c r="A11" s="2">
        <v>120</v>
      </c>
      <c r="B11" s="2"/>
      <c r="C11" s="7" t="str">
        <f t="shared" si="11"/>
        <v>120 Q</v>
      </c>
      <c r="D11" s="8">
        <f t="shared" si="12"/>
        <v>61000</v>
      </c>
      <c r="E11" s="8">
        <f t="shared" si="13"/>
        <v>1214.6673800000021</v>
      </c>
      <c r="F11" s="14">
        <f>VLOOKUP(A11,AM3:AQ8,5,0)</f>
        <v>3.4800005925036376E-2</v>
      </c>
      <c r="G11" s="14">
        <f t="shared" si="14"/>
        <v>3.0000005107789982E-2</v>
      </c>
      <c r="H11" s="14">
        <f>IFERROR(((L11-I11)/I11)/(A11/2),0)</f>
        <v>2.3158493333333405E-2</v>
      </c>
      <c r="I11" s="8">
        <f>D11</f>
        <v>61000</v>
      </c>
      <c r="J11" s="8">
        <f t="shared" si="9"/>
        <v>73069.039310345048</v>
      </c>
      <c r="K11" s="8">
        <f t="shared" si="10"/>
        <v>11691.046289655207</v>
      </c>
      <c r="L11" s="8">
        <f>E11*A11</f>
        <v>145760.08560000025</v>
      </c>
      <c r="M11" s="2"/>
      <c r="N11" s="2"/>
      <c r="AN11" s="3"/>
      <c r="AO11" s="3"/>
      <c r="AP11" s="16"/>
      <c r="AQ11" s="16"/>
      <c r="AR11" s="16"/>
      <c r="AS11" s="16"/>
    </row>
    <row r="12" spans="1:47" s="1" customFormat="1" x14ac:dyDescent="0.25">
      <c r="A12" s="2"/>
      <c r="B12" s="2"/>
      <c r="C12" s="23" t="s">
        <v>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AN12" s="3"/>
      <c r="AO12" s="3"/>
    </row>
    <row r="13" spans="1:47" s="1" customFormat="1" x14ac:dyDescent="0.25">
      <c r="A13" s="2"/>
      <c r="B13" s="2"/>
      <c r="C13" s="23" t="s">
        <v>20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AN13" s="3"/>
      <c r="AO13" s="3"/>
    </row>
    <row r="14" spans="1:47" s="1" customForma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AN14" s="3"/>
      <c r="AO14" s="3"/>
    </row>
    <row r="15" spans="1:47" s="1" customForma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AN15" s="3"/>
      <c r="AO15" s="3"/>
    </row>
    <row r="16" spans="1:47" s="1" customForma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AN16" s="3"/>
      <c r="AO16" s="3"/>
    </row>
    <row r="17" spans="1:41" s="1" customForma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AN17" s="3"/>
      <c r="AO17" s="3"/>
    </row>
    <row r="18" spans="1:41" s="1" customForma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AN18" s="3"/>
      <c r="AO18" s="3"/>
    </row>
    <row r="19" spans="1:41" s="1" customForma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AN19" s="3"/>
      <c r="AO19" s="3"/>
    </row>
    <row r="20" spans="1:41" s="1" customForma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AN20" s="3"/>
      <c r="AO20" s="3"/>
    </row>
    <row r="21" spans="1:41" s="1" customForma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AN21" s="3"/>
      <c r="AO21" s="3"/>
    </row>
    <row r="22" spans="1:4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4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4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4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4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4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4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</sheetData>
  <sheetProtection algorithmName="SHA-512" hashValue="0xN2Bz8/5qtMB6E+SJYPH6nxrqqirkhiK9yFp4Tk3djuZKmJ+l5D1aOHrB3d/7PxUrzEMzenkhu9dN0LXjOg/A==" saltValue="Yx1i0Ak0H1Mau3lXjsdbZA==" spinCount="100000" sheet="1" objects="1" scenarios="1" selectLockedCells="1"/>
  <mergeCells count="6">
    <mergeCell ref="C2:D2"/>
    <mergeCell ref="E2:G2"/>
    <mergeCell ref="C3:D3"/>
    <mergeCell ref="C4:D4"/>
    <mergeCell ref="G4:I6"/>
    <mergeCell ref="C6:D6"/>
  </mergeCells>
  <dataValidations count="2">
    <dataValidation type="custom" allowBlank="1" showInputMessage="1" showErrorMessage="1" sqref="E6">
      <formula1>E6&gt;=0</formula1>
    </dataValidation>
    <dataValidation type="list" allowBlank="1" showInputMessage="1" showErrorMessage="1" sqref="E4">
      <formula1>"Monto, Capacidad"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34"/>
  <sheetViews>
    <sheetView showGridLines="0" topLeftCell="B1" zoomScale="160" zoomScaleNormal="160" workbookViewId="0">
      <selection activeCell="E4" sqref="E4"/>
    </sheetView>
  </sheetViews>
  <sheetFormatPr baseColWidth="10" defaultRowHeight="15" x14ac:dyDescent="0.25"/>
  <cols>
    <col min="1" max="1" width="4" style="9" hidden="1" customWidth="1"/>
    <col min="2" max="2" width="4.42578125" style="9" customWidth="1"/>
    <col min="3" max="3" width="11.42578125" style="9"/>
    <col min="4" max="4" width="15.140625" style="9" customWidth="1"/>
    <col min="5" max="5" width="14.140625" style="9" bestFit="1" customWidth="1"/>
    <col min="6" max="6" width="13.5703125" style="9" bestFit="1" customWidth="1"/>
    <col min="7" max="7" width="11.140625" style="9" bestFit="1" customWidth="1"/>
    <col min="8" max="8" width="14.42578125" style="9" bestFit="1" customWidth="1"/>
    <col min="9" max="12" width="14.85546875" style="9" customWidth="1"/>
    <col min="13" max="14" width="11.42578125" style="9"/>
    <col min="15" max="20" width="0" style="9" hidden="1" customWidth="1"/>
    <col min="21" max="21" width="13.140625" style="9" hidden="1" customWidth="1"/>
    <col min="22" max="38" width="11.42578125" style="9"/>
    <col min="39" max="39" width="8.5703125" style="9" bestFit="1" customWidth="1"/>
    <col min="40" max="40" width="14.42578125" style="24" bestFit="1" customWidth="1"/>
    <col min="41" max="41" width="17.140625" style="24" bestFit="1" customWidth="1"/>
    <col min="42" max="42" width="16.5703125" style="9" bestFit="1" customWidth="1"/>
    <col min="43" max="43" width="14.5703125" style="9" bestFit="1" customWidth="1"/>
    <col min="44" max="44" width="12.5703125" style="9" bestFit="1" customWidth="1"/>
    <col min="45" max="45" width="12.140625" style="9" bestFit="1" customWidth="1"/>
    <col min="46" max="16384" width="11.42578125" style="9"/>
  </cols>
  <sheetData>
    <row r="1" spans="1:47" s="1" customForma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4" t="s">
        <v>12</v>
      </c>
      <c r="P1" s="1" t="s">
        <v>13</v>
      </c>
      <c r="Q1" s="1" t="s">
        <v>14</v>
      </c>
      <c r="R1" s="1" t="s">
        <v>16</v>
      </c>
      <c r="S1" s="1" t="s">
        <v>15</v>
      </c>
      <c r="T1" s="1" t="s">
        <v>17</v>
      </c>
      <c r="U1" s="1" t="s">
        <v>18</v>
      </c>
      <c r="AM1" s="4" t="s">
        <v>12</v>
      </c>
      <c r="AN1" s="1" t="s">
        <v>13</v>
      </c>
      <c r="AO1" s="1" t="s">
        <v>14</v>
      </c>
      <c r="AP1" s="1" t="s">
        <v>16</v>
      </c>
      <c r="AQ1" s="1" t="s">
        <v>15</v>
      </c>
      <c r="AR1" s="1" t="s">
        <v>17</v>
      </c>
      <c r="AS1" s="1" t="s">
        <v>18</v>
      </c>
      <c r="AT1" s="1" t="s">
        <v>21</v>
      </c>
      <c r="AU1" s="1" t="s">
        <v>22</v>
      </c>
    </row>
    <row r="2" spans="1:47" s="1" customFormat="1" x14ac:dyDescent="0.25">
      <c r="A2" s="2"/>
      <c r="B2" s="2"/>
      <c r="C2" s="28" t="s">
        <v>0</v>
      </c>
      <c r="D2" s="28"/>
      <c r="E2" s="29" t="s">
        <v>26</v>
      </c>
      <c r="F2" s="29"/>
      <c r="G2" s="29"/>
      <c r="H2" s="2"/>
      <c r="I2" s="2"/>
      <c r="J2" s="2"/>
      <c r="K2" s="2"/>
      <c r="L2" s="2"/>
      <c r="M2" s="2"/>
      <c r="N2" s="2"/>
      <c r="O2" s="15">
        <v>24</v>
      </c>
      <c r="P2" s="18">
        <v>497000</v>
      </c>
      <c r="Q2" s="19">
        <v>25850.25</v>
      </c>
      <c r="R2" s="16">
        <f>RATE(O2,-Q2,P2,0,0)</f>
        <v>1.8560002435494275E-2</v>
      </c>
      <c r="S2" s="17">
        <f>R2*2</f>
        <v>3.712000487098855E-2</v>
      </c>
      <c r="T2" s="17">
        <f>S2/1.16</f>
        <v>3.200000419912806E-2</v>
      </c>
      <c r="U2" s="17">
        <f>T2*12</f>
        <v>0.38400005038953672</v>
      </c>
      <c r="AM2" s="1">
        <v>24</v>
      </c>
      <c r="AN2" s="3">
        <v>1000000</v>
      </c>
      <c r="AO2" s="3">
        <v>61313.63</v>
      </c>
      <c r="AP2" s="16">
        <f t="shared" ref="AP2:AP10" si="0">RATE(AM2,-AO2,AN2,0,0)</f>
        <v>3.3527485082273087E-2</v>
      </c>
      <c r="AQ2" s="16">
        <f>AP2*2</f>
        <v>6.7054970164546174E-2</v>
      </c>
      <c r="AR2" s="16">
        <f>AQ2/1.16</f>
        <v>5.7806008762539808E-2</v>
      </c>
      <c r="AS2" s="16">
        <f>AR2*12</f>
        <v>0.69367210515047772</v>
      </c>
      <c r="AT2" s="16">
        <v>0.98099999999999998</v>
      </c>
      <c r="AU2" s="16">
        <f>AT2*1.16</f>
        <v>1.1379599999999999</v>
      </c>
    </row>
    <row r="3" spans="1:47" s="1" customFormat="1" x14ac:dyDescent="0.25">
      <c r="A3" s="2"/>
      <c r="B3" s="2"/>
      <c r="C3" s="28" t="s">
        <v>1</v>
      </c>
      <c r="D3" s="28"/>
      <c r="E3" s="27" t="s">
        <v>2</v>
      </c>
      <c r="F3" s="2"/>
      <c r="G3" s="2"/>
      <c r="H3" s="2"/>
      <c r="I3" s="2"/>
      <c r="J3" s="2"/>
      <c r="K3" s="2"/>
      <c r="L3" s="2"/>
      <c r="M3" s="2"/>
      <c r="N3" s="2"/>
      <c r="O3" s="15">
        <v>48</v>
      </c>
      <c r="P3" s="18">
        <v>497000</v>
      </c>
      <c r="Q3" s="18">
        <v>15732</v>
      </c>
      <c r="R3" s="16">
        <f t="shared" ref="R3:R5" si="1">RATE(O3,-Q3,P3,0,0)</f>
        <v>1.8559989355188038E-2</v>
      </c>
      <c r="S3" s="17">
        <f t="shared" ref="S3:S5" si="2">R3*2</f>
        <v>3.7119978710376075E-2</v>
      </c>
      <c r="T3" s="17">
        <f t="shared" ref="T3:T5" si="3">S3/1.16</f>
        <v>3.1999981646875932E-2</v>
      </c>
      <c r="U3" s="17">
        <f t="shared" ref="U3:U5" si="4">T3*12</f>
        <v>0.38399977976251121</v>
      </c>
      <c r="AM3" s="1">
        <v>36</v>
      </c>
      <c r="AN3" s="3">
        <v>1000000</v>
      </c>
      <c r="AO3" s="3">
        <v>47676.81</v>
      </c>
      <c r="AP3" s="16">
        <f t="shared" si="0"/>
        <v>3.2713157099899463E-2</v>
      </c>
      <c r="AQ3" s="16">
        <f t="shared" ref="AQ3:AQ10" si="5">AP3*2</f>
        <v>6.5426314199798927E-2</v>
      </c>
      <c r="AR3" s="16">
        <f t="shared" ref="AR3:AR10" si="6">AQ3/1.16</f>
        <v>5.6401994999826663E-2</v>
      </c>
      <c r="AS3" s="16">
        <f t="shared" ref="AS3:AS10" si="7">AR3*12</f>
        <v>0.6768239399979199</v>
      </c>
      <c r="AT3" s="16">
        <v>0.94899999999999995</v>
      </c>
      <c r="AU3" s="16">
        <f t="shared" ref="AU3:AU10" si="8">AT3*1.16</f>
        <v>1.1008399999999998</v>
      </c>
    </row>
    <row r="4" spans="1:47" s="1" customFormat="1" ht="15" customHeight="1" x14ac:dyDescent="0.25">
      <c r="A4" s="2"/>
      <c r="B4" s="2"/>
      <c r="C4" s="28" t="s">
        <v>8</v>
      </c>
      <c r="D4" s="28"/>
      <c r="E4" s="21" t="s">
        <v>25</v>
      </c>
      <c r="F4" s="2"/>
      <c r="G4" s="31" t="s">
        <v>30</v>
      </c>
      <c r="H4" s="31"/>
      <c r="I4" s="31"/>
      <c r="J4" s="2"/>
      <c r="K4" s="2"/>
      <c r="L4" s="2"/>
      <c r="M4" s="2"/>
      <c r="N4" s="2"/>
      <c r="O4" s="15">
        <v>72</v>
      </c>
      <c r="P4" s="18">
        <v>497000</v>
      </c>
      <c r="Q4" s="18">
        <v>12568.05</v>
      </c>
      <c r="R4" s="16">
        <f t="shared" si="1"/>
        <v>1.855999177746296E-2</v>
      </c>
      <c r="S4" s="17">
        <f t="shared" si="2"/>
        <v>3.711998355492592E-2</v>
      </c>
      <c r="T4" s="17">
        <f t="shared" si="3"/>
        <v>3.1999985823212E-2</v>
      </c>
      <c r="U4" s="17">
        <f t="shared" si="4"/>
        <v>0.38399982987854397</v>
      </c>
      <c r="AM4" s="1">
        <v>48</v>
      </c>
      <c r="AN4" s="3">
        <v>1000000</v>
      </c>
      <c r="AO4" s="3">
        <v>40861.94</v>
      </c>
      <c r="AP4" s="16">
        <f t="shared" si="0"/>
        <v>3.1745146321137355E-2</v>
      </c>
      <c r="AQ4" s="16">
        <f t="shared" si="5"/>
        <v>6.3490292642274709E-2</v>
      </c>
      <c r="AR4" s="16">
        <f t="shared" si="6"/>
        <v>5.4733010898512686E-2</v>
      </c>
      <c r="AS4" s="16">
        <f t="shared" si="7"/>
        <v>0.65679613078215227</v>
      </c>
      <c r="AT4" s="16">
        <v>0.91200000000000003</v>
      </c>
      <c r="AU4" s="16">
        <f t="shared" si="8"/>
        <v>1.05792</v>
      </c>
    </row>
    <row r="5" spans="1:47" s="1" customFormat="1" x14ac:dyDescent="0.25">
      <c r="A5" s="2"/>
      <c r="B5" s="2"/>
      <c r="C5" s="2"/>
      <c r="D5" s="2"/>
      <c r="E5" s="2"/>
      <c r="F5" s="2"/>
      <c r="G5" s="31"/>
      <c r="H5" s="31"/>
      <c r="I5" s="31"/>
      <c r="J5" s="2"/>
      <c r="K5" s="2"/>
      <c r="L5" s="2"/>
      <c r="M5" s="2"/>
      <c r="N5" s="2"/>
      <c r="O5" s="15">
        <v>96</v>
      </c>
      <c r="P5" s="18">
        <v>497000</v>
      </c>
      <c r="Q5" s="18">
        <v>11128.57</v>
      </c>
      <c r="R5" s="16">
        <f t="shared" si="1"/>
        <v>1.8559997634293605E-2</v>
      </c>
      <c r="S5" s="17">
        <f t="shared" si="2"/>
        <v>3.7119995268587211E-2</v>
      </c>
      <c r="T5" s="17">
        <f t="shared" si="3"/>
        <v>3.1999995921195873E-2</v>
      </c>
      <c r="U5" s="17">
        <f t="shared" si="4"/>
        <v>0.38399995105435047</v>
      </c>
      <c r="AM5" s="1">
        <v>60</v>
      </c>
      <c r="AN5" s="3">
        <v>1000000</v>
      </c>
      <c r="AO5" s="3">
        <v>36772.400000000001</v>
      </c>
      <c r="AP5" s="16">
        <f t="shared" si="0"/>
        <v>3.0822941290837402E-2</v>
      </c>
      <c r="AQ5" s="16">
        <f t="shared" si="5"/>
        <v>6.1645882581674805E-2</v>
      </c>
      <c r="AR5" s="16">
        <f t="shared" si="6"/>
        <v>5.3143002225581729E-2</v>
      </c>
      <c r="AS5" s="16">
        <f t="shared" si="7"/>
        <v>0.6377160267069808</v>
      </c>
      <c r="AT5" s="16">
        <v>0.876</v>
      </c>
      <c r="AU5" s="16">
        <f t="shared" si="8"/>
        <v>1.01616</v>
      </c>
    </row>
    <row r="6" spans="1:47" s="1" customFormat="1" x14ac:dyDescent="0.25">
      <c r="A6" s="2"/>
      <c r="B6" s="2"/>
      <c r="C6" s="28" t="str">
        <f>IF(E4="MONTO","Ingrese el Monto:","Ingrese la capacidad:")</f>
        <v>Ingrese el Monto:</v>
      </c>
      <c r="D6" s="28"/>
      <c r="E6" s="22">
        <v>200000</v>
      </c>
      <c r="F6" s="2"/>
      <c r="G6" s="31"/>
      <c r="H6" s="31"/>
      <c r="I6" s="31"/>
      <c r="J6" s="2"/>
      <c r="K6" s="2"/>
      <c r="L6" s="2"/>
      <c r="M6" s="2"/>
      <c r="N6" s="2"/>
      <c r="O6" s="4"/>
      <c r="P6" s="4"/>
      <c r="Q6" s="4"/>
      <c r="AM6" s="1">
        <v>72</v>
      </c>
      <c r="AN6" s="3">
        <v>1000000</v>
      </c>
      <c r="AO6" s="3">
        <v>34045.49</v>
      </c>
      <c r="AP6" s="16">
        <f t="shared" si="0"/>
        <v>2.998948305256155E-2</v>
      </c>
      <c r="AQ6" s="16">
        <f t="shared" si="5"/>
        <v>5.9978966105123099E-2</v>
      </c>
      <c r="AR6" s="16">
        <f t="shared" si="6"/>
        <v>5.1706005263037161E-2</v>
      </c>
      <c r="AS6" s="16">
        <f t="shared" si="7"/>
        <v>0.62047206315644599</v>
      </c>
      <c r="AT6" s="16">
        <v>0.84499999999999997</v>
      </c>
      <c r="AU6" s="16">
        <f t="shared" si="8"/>
        <v>0.98019999999999985</v>
      </c>
    </row>
    <row r="7" spans="1:47" s="1" customFormat="1" x14ac:dyDescent="0.25">
      <c r="A7" s="2"/>
      <c r="B7" s="2"/>
      <c r="C7" s="2"/>
      <c r="D7" s="2"/>
      <c r="E7" s="2"/>
      <c r="F7" s="12"/>
      <c r="G7" s="12"/>
      <c r="H7" s="10"/>
      <c r="I7" s="13"/>
      <c r="J7" s="2"/>
      <c r="K7" s="2"/>
      <c r="L7" s="2"/>
      <c r="M7" s="2"/>
      <c r="N7" s="2"/>
      <c r="AM7" s="1">
        <v>84</v>
      </c>
      <c r="AN7" s="3">
        <v>1000000</v>
      </c>
      <c r="AO7" s="3">
        <v>32096.38</v>
      </c>
      <c r="AP7" s="16">
        <f t="shared" si="0"/>
        <v>2.9246500191878754E-2</v>
      </c>
      <c r="AQ7" s="16">
        <f t="shared" si="5"/>
        <v>5.8493000383757508E-2</v>
      </c>
      <c r="AR7" s="16">
        <f t="shared" si="6"/>
        <v>5.0425000330825441E-2</v>
      </c>
      <c r="AS7" s="16">
        <f t="shared" si="7"/>
        <v>0.60510000396990526</v>
      </c>
      <c r="AT7" s="16">
        <v>0.81799999999999995</v>
      </c>
      <c r="AU7" s="16">
        <f t="shared" si="8"/>
        <v>0.94887999999999983</v>
      </c>
    </row>
    <row r="8" spans="1:47" s="1" customFormat="1" x14ac:dyDescent="0.25">
      <c r="A8" s="2"/>
      <c r="B8" s="2"/>
      <c r="C8" s="11" t="s">
        <v>3</v>
      </c>
      <c r="D8" s="11" t="s">
        <v>4</v>
      </c>
      <c r="E8" s="11" t="s">
        <v>19</v>
      </c>
      <c r="F8" s="11" t="s">
        <v>23</v>
      </c>
      <c r="G8" s="11" t="s">
        <v>24</v>
      </c>
      <c r="H8" s="11" t="s">
        <v>9</v>
      </c>
      <c r="I8" s="11" t="s">
        <v>6</v>
      </c>
      <c r="J8" s="11" t="s">
        <v>10</v>
      </c>
      <c r="K8" s="11" t="s">
        <v>11</v>
      </c>
      <c r="L8" s="11" t="s">
        <v>5</v>
      </c>
      <c r="M8" s="2"/>
      <c r="N8" s="2"/>
      <c r="AM8" s="1">
        <v>96</v>
      </c>
      <c r="AN8" s="3">
        <v>1000000</v>
      </c>
      <c r="AO8" s="3">
        <v>30633.77</v>
      </c>
      <c r="AP8" s="16">
        <f t="shared" si="0"/>
        <v>2.8587044166531184E-2</v>
      </c>
      <c r="AQ8" s="16">
        <f t="shared" si="5"/>
        <v>5.7174088333062367E-2</v>
      </c>
      <c r="AR8" s="16">
        <f t="shared" si="6"/>
        <v>4.9288007183674459E-2</v>
      </c>
      <c r="AS8" s="16">
        <f t="shared" si="7"/>
        <v>0.59145608620409351</v>
      </c>
      <c r="AT8" s="16">
        <v>0.79400000000000004</v>
      </c>
      <c r="AU8" s="16">
        <f t="shared" si="8"/>
        <v>0.92103999999999997</v>
      </c>
    </row>
    <row r="9" spans="1:47" s="1" customFormat="1" x14ac:dyDescent="0.25">
      <c r="A9" s="2">
        <v>24</v>
      </c>
      <c r="B9" s="2"/>
      <c r="C9" s="7" t="str">
        <f>CONCATENATE(A9," Q")</f>
        <v>24 Q</v>
      </c>
      <c r="D9" s="8">
        <f>IF(IF($E$4="MONTO",IF((IF(MOD($E$6,500)=0,$E$6,$E$6-MOD($E$6,500)))&gt;1000000,1000000,IF(MOD($E$6,500)=0,$E$6,$E$6-MOD($E$6,500))),IF(((1-(1+(F9/2))^(-A9))/((F9/2)))*$E$6&gt;1000000,1000000,IF(MOD(((1-(1+(F9/2))^(-A9))/(F9))*$E$6,500)=0,((1-(1+(F9/2))^(-A9))/((F9/2)))*$E$6,((1-(1+(F9/2))^(-A9))/((F9/2)))*$E$6-MOD(((1-(1+(F9/2))^(-A9))/((F9/2)))*$E$6,500))))&lt;5000,0,
IF($E$4="MONTO",IF((IF(MOD($E$6,500)=0,$E$6,$E$6-MOD($E$6,500)))&gt;1000000,1000000,IF(MOD($E$6,500)=0,$E$6,$E$6-MOD($E$6,500))),IF(((1-(1+(F9/2))^(-A9))/((F9/2)))*$E$6&gt;1000000,1000000,IF(MOD(((1-(1+(F9/2))^(-A9))/(F9))*$E$6,500)=0,((1-(1+(F9/2))^(-A9))/((F9/2)))*$E$6,((1-(1+(F9/2))^(-A9))/((F9/2)))*$E$6-MOD(((1-(1+(F9/2))^(-A9))/((F9/2)))*$E$6,500)))))</f>
        <v>200000</v>
      </c>
      <c r="E9" s="8">
        <f>-PMT(F9/2,A9,D9,,0)</f>
        <v>12262.726000000011</v>
      </c>
      <c r="F9" s="14">
        <f>VLOOKUP(A9,AM1:AQ6,5,0)</f>
        <v>6.7054970164546174E-2</v>
      </c>
      <c r="G9" s="14">
        <f>F9/1.16</f>
        <v>5.7806008762539808E-2</v>
      </c>
      <c r="H9" s="14">
        <f>IFERROR(((L9-I9)/I9)/(A9/2),0)</f>
        <v>3.9293926666666791E-2</v>
      </c>
      <c r="I9" s="8">
        <f>D9</f>
        <v>200000</v>
      </c>
      <c r="J9" s="8">
        <f t="shared" ref="J9:J17" si="9">(L9-I9)/1.16</f>
        <v>81297.779310345082</v>
      </c>
      <c r="K9" s="8">
        <f t="shared" ref="K9:K17" si="10">J9*16%</f>
        <v>13007.644689655213</v>
      </c>
      <c r="L9" s="8">
        <f>E9*A9</f>
        <v>294305.42400000029</v>
      </c>
      <c r="M9" s="2"/>
      <c r="N9" s="2"/>
      <c r="AM9" s="1">
        <v>108</v>
      </c>
      <c r="AN9" s="3">
        <v>1000000</v>
      </c>
      <c r="AO9" s="3">
        <v>29494.53</v>
      </c>
      <c r="AP9" s="16">
        <f t="shared" si="0"/>
        <v>2.8000079765962273E-2</v>
      </c>
      <c r="AQ9" s="16">
        <f t="shared" si="5"/>
        <v>5.6000159531924547E-2</v>
      </c>
      <c r="AR9" s="16">
        <f t="shared" si="6"/>
        <v>4.8275999596486679E-2</v>
      </c>
      <c r="AS9" s="16">
        <f t="shared" si="7"/>
        <v>0.57931199515784015</v>
      </c>
      <c r="AT9" s="16">
        <v>0.77300000000000002</v>
      </c>
      <c r="AU9" s="16">
        <f t="shared" si="8"/>
        <v>0.89667999999999992</v>
      </c>
    </row>
    <row r="10" spans="1:47" s="1" customFormat="1" x14ac:dyDescent="0.25">
      <c r="A10" s="2">
        <v>36</v>
      </c>
      <c r="B10" s="2"/>
      <c r="C10" s="7" t="str">
        <f t="shared" ref="C10:C17" si="11">CONCATENATE(A10," Q")</f>
        <v>36 Q</v>
      </c>
      <c r="D10" s="8">
        <f t="shared" ref="D10:D17" si="12">IF(IF($E$4="MONTO",IF((IF(MOD($E$6,500)=0,$E$6,$E$6-MOD($E$6,500)))&gt;1000000,1000000,IF(MOD($E$6,500)=0,$E$6,$E$6-MOD($E$6,500))),IF(((1-(1+(F10/2))^(-A10))/((F10/2)))*$E$6&gt;1000000,1000000,IF(MOD(((1-(1+(F10/2))^(-A10))/(F10))*$E$6,500)=0,((1-(1+(F10/2))^(-A10))/((F10/2)))*$E$6,((1-(1+(F10/2))^(-A10))/((F10/2)))*$E$6-MOD(((1-(1+(F10/2))^(-A10))/((F10/2)))*$E$6,500))))&lt;5000,0,
IF($E$4="MONTO",IF((IF(MOD($E$6,500)=0,$E$6,$E$6-MOD($E$6,500)))&gt;1000000,1000000,IF(MOD($E$6,500)=0,$E$6,$E$6-MOD($E$6,500))),IF(((1-(1+(F10/2))^(-A10))/((F10/2)))*$E$6&gt;1000000,1000000,IF(MOD(((1-(1+(F10/2))^(-A10))/(F10))*$E$6,500)=0,((1-(1+(F10/2))^(-A10))/((F10/2)))*$E$6,((1-(1+(F10/2))^(-A10))/((F10/2)))*$E$6-MOD(((1-(1+(F10/2))^(-A10))/((F10/2)))*$E$6,500)))))</f>
        <v>200000</v>
      </c>
      <c r="E10" s="8">
        <f t="shared" ref="E10:E17" si="13">-PMT(F10/2,A10,D10,,0)</f>
        <v>9535.3620000000465</v>
      </c>
      <c r="F10" s="14">
        <f>VLOOKUP(A10,AM2:AQ7,5,0)</f>
        <v>6.5426314199798927E-2</v>
      </c>
      <c r="G10" s="14">
        <f t="shared" ref="G10:G17" si="14">F10/1.16</f>
        <v>5.6401994999826663E-2</v>
      </c>
      <c r="H10" s="14">
        <f>IFERROR(((L10-I10)/I10)/(A10/2),0)</f>
        <v>3.9798064444444919E-2</v>
      </c>
      <c r="I10" s="8">
        <f>D10</f>
        <v>200000</v>
      </c>
      <c r="J10" s="8">
        <f t="shared" si="9"/>
        <v>123511.23448276009</v>
      </c>
      <c r="K10" s="8">
        <f t="shared" si="10"/>
        <v>19761.797517241615</v>
      </c>
      <c r="L10" s="8">
        <f>E10*A10</f>
        <v>343273.03200000169</v>
      </c>
      <c r="M10" s="2"/>
      <c r="N10" s="2"/>
      <c r="AM10" s="1">
        <v>120</v>
      </c>
      <c r="AN10" s="3">
        <v>1000000</v>
      </c>
      <c r="AO10" s="3">
        <v>28582.66</v>
      </c>
      <c r="AP10" s="16">
        <f t="shared" si="0"/>
        <v>2.7477502793214828E-2</v>
      </c>
      <c r="AQ10" s="16">
        <f t="shared" si="5"/>
        <v>5.4955005586429656E-2</v>
      </c>
      <c r="AR10" s="16">
        <f t="shared" si="6"/>
        <v>4.7375004815887641E-2</v>
      </c>
      <c r="AS10" s="16">
        <f t="shared" si="7"/>
        <v>0.56850005779065171</v>
      </c>
      <c r="AT10" s="16">
        <v>0.754</v>
      </c>
      <c r="AU10" s="16">
        <f t="shared" si="8"/>
        <v>0.87463999999999997</v>
      </c>
    </row>
    <row r="11" spans="1:47" s="1" customFormat="1" x14ac:dyDescent="0.25">
      <c r="A11" s="2">
        <v>48</v>
      </c>
      <c r="B11" s="2"/>
      <c r="C11" s="7" t="str">
        <f t="shared" si="11"/>
        <v>48 Q</v>
      </c>
      <c r="D11" s="8">
        <f t="shared" si="12"/>
        <v>200000</v>
      </c>
      <c r="E11" s="8">
        <f t="shared" si="13"/>
        <v>8172.3880000000072</v>
      </c>
      <c r="F11" s="14">
        <f>VLOOKUP(A11,AM3:AQ8,5,0)</f>
        <v>6.3490292642274709E-2</v>
      </c>
      <c r="G11" s="14">
        <f t="shared" si="14"/>
        <v>5.4733010898512686E-2</v>
      </c>
      <c r="H11" s="14">
        <f>IFERROR(((L11-I11)/I11)/(A11/2),0)</f>
        <v>4.0057213333333404E-2</v>
      </c>
      <c r="I11" s="8">
        <f>D11</f>
        <v>200000</v>
      </c>
      <c r="J11" s="8">
        <f t="shared" si="9"/>
        <v>165753.98620689687</v>
      </c>
      <c r="K11" s="8">
        <f t="shared" si="10"/>
        <v>26520.637793103499</v>
      </c>
      <c r="L11" s="8">
        <f>E11*A11</f>
        <v>392274.62400000036</v>
      </c>
      <c r="M11" s="2"/>
      <c r="N11" s="2"/>
      <c r="AN11" s="3"/>
      <c r="AO11" s="3"/>
      <c r="AP11" s="16"/>
      <c r="AQ11" s="16"/>
      <c r="AR11" s="16"/>
      <c r="AS11" s="16"/>
    </row>
    <row r="12" spans="1:47" s="1" customFormat="1" x14ac:dyDescent="0.25">
      <c r="A12" s="2">
        <v>60</v>
      </c>
      <c r="B12" s="2"/>
      <c r="C12" s="7" t="str">
        <f t="shared" si="11"/>
        <v>60 Q</v>
      </c>
      <c r="D12" s="8">
        <f t="shared" si="12"/>
        <v>200000</v>
      </c>
      <c r="E12" s="8">
        <f t="shared" si="13"/>
        <v>7354.4800000000059</v>
      </c>
      <c r="F12" s="14">
        <f>VLOOKUP(A12,AM4:AQ9,5,0)</f>
        <v>6.1645882581674805E-2</v>
      </c>
      <c r="G12" s="14">
        <f t="shared" si="14"/>
        <v>5.3143002225581729E-2</v>
      </c>
      <c r="H12" s="14">
        <f>IFERROR(((L12-I12)/I12)/(A12/2),0)</f>
        <v>4.0211466666666723E-2</v>
      </c>
      <c r="I12" s="8">
        <f>D12</f>
        <v>200000</v>
      </c>
      <c r="J12" s="8">
        <f t="shared" si="9"/>
        <v>207990.34482758652</v>
      </c>
      <c r="K12" s="8">
        <f t="shared" si="10"/>
        <v>33278.455172413844</v>
      </c>
      <c r="L12" s="8">
        <f>E12*A12</f>
        <v>441268.80000000034</v>
      </c>
      <c r="M12" s="2"/>
      <c r="N12" s="2"/>
      <c r="AN12" s="3"/>
      <c r="AO12" s="3"/>
    </row>
    <row r="13" spans="1:47" s="1" customFormat="1" x14ac:dyDescent="0.25">
      <c r="A13" s="2">
        <v>72</v>
      </c>
      <c r="B13" s="2"/>
      <c r="C13" s="7" t="str">
        <f t="shared" si="11"/>
        <v>72 Q</v>
      </c>
      <c r="D13" s="8">
        <f t="shared" si="12"/>
        <v>200000</v>
      </c>
      <c r="E13" s="8">
        <f t="shared" si="13"/>
        <v>6809.0980000000673</v>
      </c>
      <c r="F13" s="14">
        <f>VLOOKUP(A13,AM5:AQ10,5,0)</f>
        <v>5.9978966105123099E-2</v>
      </c>
      <c r="G13" s="14">
        <f t="shared" si="14"/>
        <v>5.1706005263037161E-2</v>
      </c>
      <c r="H13" s="14">
        <f>IFERROR(((L13-I13)/I13)/(A13/2),0)</f>
        <v>4.0313202222222899E-2</v>
      </c>
      <c r="I13" s="8">
        <f>D13</f>
        <v>200000</v>
      </c>
      <c r="J13" s="8">
        <f t="shared" si="9"/>
        <v>250219.87586207318</v>
      </c>
      <c r="K13" s="8">
        <f t="shared" si="10"/>
        <v>40035.180137931711</v>
      </c>
      <c r="L13" s="8">
        <f>E13*A13</f>
        <v>490255.05600000487</v>
      </c>
      <c r="M13" s="2"/>
      <c r="N13" s="2"/>
      <c r="AN13" s="3"/>
      <c r="AO13" s="3"/>
    </row>
    <row r="14" spans="1:47" s="1" customFormat="1" x14ac:dyDescent="0.25">
      <c r="A14" s="2">
        <v>84</v>
      </c>
      <c r="B14" s="2"/>
      <c r="C14" s="7" t="str">
        <f t="shared" si="11"/>
        <v>84 Q</v>
      </c>
      <c r="D14" s="8">
        <f t="shared" si="12"/>
        <v>200000</v>
      </c>
      <c r="E14" s="8">
        <f t="shared" si="13"/>
        <v>6419.2759999999989</v>
      </c>
      <c r="F14" s="14">
        <f t="shared" ref="F14:F17" si="15">VLOOKUP(A14,AM6:AQ11,5,0)</f>
        <v>5.8493000383757508E-2</v>
      </c>
      <c r="G14" s="14">
        <f t="shared" si="14"/>
        <v>5.0425000330825441E-2</v>
      </c>
      <c r="H14" s="14">
        <f t="shared" ref="H14:H17" si="16">IFERROR(((L14-I14)/I14)/(A14/2),0)</f>
        <v>4.0383236190476179E-2</v>
      </c>
      <c r="I14" s="8">
        <f t="shared" ref="I14:I17" si="17">D14</f>
        <v>200000</v>
      </c>
      <c r="J14" s="8">
        <f t="shared" si="9"/>
        <v>292430.33103448269</v>
      </c>
      <c r="K14" s="8">
        <f t="shared" si="10"/>
        <v>46788.852965517231</v>
      </c>
      <c r="L14" s="8">
        <f t="shared" ref="L14:L17" si="18">E14*A14</f>
        <v>539219.18399999989</v>
      </c>
      <c r="M14" s="2"/>
      <c r="N14" s="2"/>
      <c r="AN14" s="3"/>
      <c r="AO14" s="3"/>
    </row>
    <row r="15" spans="1:47" s="1" customFormat="1" x14ac:dyDescent="0.25">
      <c r="A15" s="2">
        <v>96</v>
      </c>
      <c r="B15" s="2"/>
      <c r="C15" s="7" t="str">
        <f t="shared" si="11"/>
        <v>96 Q</v>
      </c>
      <c r="D15" s="8">
        <f t="shared" si="12"/>
        <v>200000</v>
      </c>
      <c r="E15" s="8">
        <f t="shared" si="13"/>
        <v>6126.7540000000017</v>
      </c>
      <c r="F15" s="14">
        <f t="shared" si="15"/>
        <v>5.7174088333062367E-2</v>
      </c>
      <c r="G15" s="14">
        <f t="shared" si="14"/>
        <v>4.9288007183674459E-2</v>
      </c>
      <c r="H15" s="14">
        <f t="shared" si="16"/>
        <v>4.0434206666666687E-2</v>
      </c>
      <c r="I15" s="8">
        <f t="shared" si="17"/>
        <v>200000</v>
      </c>
      <c r="J15" s="8">
        <f t="shared" si="9"/>
        <v>334627.9172413795</v>
      </c>
      <c r="K15" s="8">
        <f t="shared" si="10"/>
        <v>53540.466758620722</v>
      </c>
      <c r="L15" s="8">
        <f t="shared" si="18"/>
        <v>588168.38400000019</v>
      </c>
      <c r="M15" s="2"/>
      <c r="N15" s="2"/>
      <c r="AN15" s="3"/>
      <c r="AO15" s="3"/>
    </row>
    <row r="16" spans="1:47" s="1" customFormat="1" x14ac:dyDescent="0.25">
      <c r="A16" s="2">
        <v>108</v>
      </c>
      <c r="B16" s="2"/>
      <c r="C16" s="7" t="str">
        <f t="shared" si="11"/>
        <v>108 Q</v>
      </c>
      <c r="D16" s="8">
        <f t="shared" si="12"/>
        <v>200000</v>
      </c>
      <c r="E16" s="8">
        <f t="shared" si="13"/>
        <v>5898.9060000000009</v>
      </c>
      <c r="F16" s="14">
        <f t="shared" si="15"/>
        <v>5.6000159531924547E-2</v>
      </c>
      <c r="G16" s="14">
        <f t="shared" si="14"/>
        <v>4.8275999596486679E-2</v>
      </c>
      <c r="H16" s="14">
        <f t="shared" si="16"/>
        <v>4.0470541481481492E-2</v>
      </c>
      <c r="I16" s="8">
        <f t="shared" si="17"/>
        <v>200000</v>
      </c>
      <c r="J16" s="8">
        <f t="shared" si="9"/>
        <v>376794.69655172428</v>
      </c>
      <c r="K16" s="8">
        <f t="shared" si="10"/>
        <v>60287.151448275887</v>
      </c>
      <c r="L16" s="8">
        <f t="shared" si="18"/>
        <v>637081.84800000011</v>
      </c>
      <c r="M16" s="2"/>
      <c r="N16" s="2"/>
      <c r="AN16" s="3"/>
      <c r="AO16" s="3"/>
    </row>
    <row r="17" spans="1:41" s="1" customFormat="1" x14ac:dyDescent="0.25">
      <c r="A17" s="2">
        <v>120</v>
      </c>
      <c r="B17" s="2"/>
      <c r="C17" s="7" t="str">
        <f t="shared" si="11"/>
        <v>120 Q</v>
      </c>
      <c r="D17" s="8">
        <f t="shared" si="12"/>
        <v>200000</v>
      </c>
      <c r="E17" s="8">
        <f t="shared" si="13"/>
        <v>5716.5320000000011</v>
      </c>
      <c r="F17" s="14">
        <f t="shared" si="15"/>
        <v>5.4955005586429656E-2</v>
      </c>
      <c r="G17" s="14">
        <f t="shared" si="14"/>
        <v>4.7375004815887641E-2</v>
      </c>
      <c r="H17" s="14">
        <f t="shared" si="16"/>
        <v>4.0498653333333343E-2</v>
      </c>
      <c r="I17" s="8">
        <f t="shared" si="17"/>
        <v>200000</v>
      </c>
      <c r="J17" s="8">
        <f t="shared" si="9"/>
        <v>418951.58620689664</v>
      </c>
      <c r="K17" s="8">
        <f t="shared" si="10"/>
        <v>67032.25379310346</v>
      </c>
      <c r="L17" s="8">
        <f t="shared" si="18"/>
        <v>685983.84000000008</v>
      </c>
      <c r="M17" s="2"/>
      <c r="N17" s="2"/>
      <c r="AN17" s="3"/>
      <c r="AO17" s="3"/>
    </row>
    <row r="18" spans="1:41" s="1" customFormat="1" x14ac:dyDescent="0.25">
      <c r="A18" s="2"/>
      <c r="B18" s="2"/>
      <c r="C18" s="23" t="s">
        <v>7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AN18" s="3"/>
      <c r="AO18" s="3"/>
    </row>
    <row r="19" spans="1:41" s="1" customFormat="1" x14ac:dyDescent="0.25">
      <c r="A19" s="2"/>
      <c r="B19" s="2"/>
      <c r="C19" s="23" t="s">
        <v>20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AN19" s="3"/>
      <c r="AO19" s="3"/>
    </row>
    <row r="20" spans="1:41" s="1" customForma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AN20" s="3"/>
      <c r="AO20" s="3"/>
    </row>
    <row r="21" spans="1:41" s="1" customForma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AN21" s="3"/>
      <c r="AO21" s="3"/>
    </row>
    <row r="22" spans="1:41" s="1" customForma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AN22" s="3"/>
      <c r="AO22" s="3"/>
    </row>
    <row r="23" spans="1:41" s="1" customFormat="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AN23" s="3"/>
      <c r="AO23" s="3"/>
    </row>
    <row r="24" spans="1:41" s="1" customForma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AN24" s="3"/>
      <c r="AO24" s="3"/>
    </row>
    <row r="25" spans="1:41" s="1" customForma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AN25" s="3"/>
      <c r="AO25" s="3"/>
    </row>
    <row r="26" spans="1:41" s="1" customForma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AN26" s="3"/>
      <c r="AO26" s="3"/>
    </row>
    <row r="27" spans="1:41" s="1" customForma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AN27" s="3"/>
      <c r="AO27" s="3"/>
    </row>
    <row r="28" spans="1:4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4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4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4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41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2:14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</sheetData>
  <sheetProtection algorithmName="SHA-512" hashValue="sw0zHG4js0Qs0zkWp6GHmALYOHlfws2jEqGFrHzoi6IZx8Iz/S6xIwhOrbS0FNy6HOUZxwchG0eVnuFyE7cF5Q==" saltValue="cFoRqBP4FaV45hMLflShRA==" spinCount="100000" sheet="1" objects="1" scenarios="1" selectLockedCells="1"/>
  <mergeCells count="6">
    <mergeCell ref="C2:D2"/>
    <mergeCell ref="E2:G2"/>
    <mergeCell ref="C3:D3"/>
    <mergeCell ref="C4:D4"/>
    <mergeCell ref="G4:I6"/>
    <mergeCell ref="C6:D6"/>
  </mergeCells>
  <dataValidations count="2">
    <dataValidation type="custom" allowBlank="1" showInputMessage="1" showErrorMessage="1" sqref="E6">
      <formula1>E6&gt;=0</formula1>
    </dataValidation>
    <dataValidation type="list" allowBlank="1" showInputMessage="1" showErrorMessage="1" sqref="E4">
      <formula1>"Monto, Capacidad"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34"/>
  <sheetViews>
    <sheetView showGridLines="0" topLeftCell="B1" zoomScale="160" zoomScaleNormal="160" workbookViewId="0">
      <selection activeCell="E6" sqref="E6"/>
    </sheetView>
  </sheetViews>
  <sheetFormatPr baseColWidth="10" defaultRowHeight="15" x14ac:dyDescent="0.25"/>
  <cols>
    <col min="1" max="1" width="4" style="9" hidden="1" customWidth="1"/>
    <col min="2" max="2" width="4.42578125" style="9" customWidth="1"/>
    <col min="3" max="3" width="11.42578125" style="9"/>
    <col min="4" max="4" width="15.85546875" style="9" customWidth="1"/>
    <col min="5" max="5" width="14.42578125" style="9" bestFit="1" customWidth="1"/>
    <col min="6" max="6" width="13.5703125" style="9" bestFit="1" customWidth="1"/>
    <col min="7" max="7" width="11.140625" style="9" bestFit="1" customWidth="1"/>
    <col min="8" max="10" width="14.42578125" style="9" bestFit="1" customWidth="1"/>
    <col min="11" max="11" width="14.140625" style="9" customWidth="1"/>
    <col min="12" max="12" width="14.42578125" style="9" bestFit="1" customWidth="1"/>
    <col min="13" max="14" width="11.42578125" style="9"/>
    <col min="15" max="20" width="0" style="9" hidden="1" customWidth="1"/>
    <col min="21" max="21" width="13.140625" style="9" hidden="1" customWidth="1"/>
    <col min="22" max="38" width="11.42578125" style="9"/>
    <col min="39" max="39" width="8.5703125" style="9" bestFit="1" customWidth="1"/>
    <col min="40" max="40" width="14.140625" style="24" bestFit="1" customWidth="1"/>
    <col min="41" max="41" width="17.140625" style="24" bestFit="1" customWidth="1"/>
    <col min="42" max="42" width="16.5703125" style="9" bestFit="1" customWidth="1"/>
    <col min="43" max="43" width="14.5703125" style="9" bestFit="1" customWidth="1"/>
    <col min="44" max="44" width="12.5703125" style="9" bestFit="1" customWidth="1"/>
    <col min="45" max="45" width="12.140625" style="9" bestFit="1" customWidth="1"/>
    <col min="46" max="16384" width="11.42578125" style="9"/>
  </cols>
  <sheetData>
    <row r="1" spans="1:47" s="1" customForma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4" t="s">
        <v>12</v>
      </c>
      <c r="P1" s="1" t="s">
        <v>13</v>
      </c>
      <c r="Q1" s="1" t="s">
        <v>14</v>
      </c>
      <c r="R1" s="1" t="s">
        <v>16</v>
      </c>
      <c r="S1" s="1" t="s">
        <v>15</v>
      </c>
      <c r="T1" s="1" t="s">
        <v>17</v>
      </c>
      <c r="U1" s="1" t="s">
        <v>18</v>
      </c>
      <c r="AM1" s="4" t="s">
        <v>12</v>
      </c>
      <c r="AN1" s="1" t="s">
        <v>13</v>
      </c>
      <c r="AO1" s="1" t="s">
        <v>14</v>
      </c>
      <c r="AP1" s="1" t="s">
        <v>16</v>
      </c>
      <c r="AQ1" s="1" t="s">
        <v>15</v>
      </c>
      <c r="AR1" s="1" t="s">
        <v>17</v>
      </c>
      <c r="AS1" s="1" t="s">
        <v>18</v>
      </c>
      <c r="AT1" s="1" t="s">
        <v>21</v>
      </c>
      <c r="AU1" s="1" t="s">
        <v>22</v>
      </c>
    </row>
    <row r="2" spans="1:47" s="1" customFormat="1" x14ac:dyDescent="0.25">
      <c r="A2" s="2"/>
      <c r="B2" s="2"/>
      <c r="C2" s="28" t="s">
        <v>0</v>
      </c>
      <c r="D2" s="28"/>
      <c r="E2" s="29" t="s">
        <v>26</v>
      </c>
      <c r="F2" s="29"/>
      <c r="G2" s="29"/>
      <c r="H2" s="2"/>
      <c r="I2" s="2"/>
      <c r="J2" s="2"/>
      <c r="K2" s="2"/>
      <c r="L2" s="2"/>
      <c r="M2" s="2"/>
      <c r="N2" s="2"/>
      <c r="O2" s="15">
        <v>24</v>
      </c>
      <c r="P2" s="18">
        <v>497000</v>
      </c>
      <c r="Q2" s="19">
        <v>25850.25</v>
      </c>
      <c r="R2" s="16">
        <f>RATE(O2,-Q2,P2,0,0)</f>
        <v>1.8560002435494275E-2</v>
      </c>
      <c r="S2" s="17">
        <f>R2*2</f>
        <v>3.712000487098855E-2</v>
      </c>
      <c r="T2" s="17">
        <f>S2/1.16</f>
        <v>3.200000419912806E-2</v>
      </c>
      <c r="U2" s="17">
        <f>T2*12</f>
        <v>0.38400005038953672</v>
      </c>
      <c r="AM2" s="1">
        <v>24</v>
      </c>
      <c r="AN2" s="3">
        <v>1000000</v>
      </c>
      <c r="AO2" s="3">
        <v>55920.54</v>
      </c>
      <c r="AP2" s="16">
        <f t="shared" ref="AP2:AP10" si="0">RATE(AM2,-AO2,AN2,0,0)</f>
        <v>2.501249698128756E-2</v>
      </c>
      <c r="AQ2" s="16">
        <f>AP2*2</f>
        <v>5.0024993962575121E-2</v>
      </c>
      <c r="AR2" s="16">
        <f>AQ2/1.16</f>
        <v>4.3124994795323383E-2</v>
      </c>
      <c r="AS2" s="16">
        <f>AR2*12</f>
        <v>0.51749993754388057</v>
      </c>
      <c r="AT2" s="16">
        <v>0.98099999999999998</v>
      </c>
      <c r="AU2" s="16">
        <f>AT2*1.16</f>
        <v>1.1379599999999999</v>
      </c>
    </row>
    <row r="3" spans="1:47" s="1" customFormat="1" x14ac:dyDescent="0.25">
      <c r="A3" s="2"/>
      <c r="B3" s="2"/>
      <c r="C3" s="28" t="s">
        <v>1</v>
      </c>
      <c r="D3" s="28"/>
      <c r="E3" s="25" t="s">
        <v>2</v>
      </c>
      <c r="F3" s="2"/>
      <c r="G3" s="2"/>
      <c r="H3" s="2"/>
      <c r="I3" s="2"/>
      <c r="J3" s="2"/>
      <c r="K3" s="2"/>
      <c r="L3" s="2"/>
      <c r="M3" s="2"/>
      <c r="N3" s="2"/>
      <c r="O3" s="15">
        <v>48</v>
      </c>
      <c r="P3" s="18">
        <v>497000</v>
      </c>
      <c r="Q3" s="18">
        <v>15732</v>
      </c>
      <c r="R3" s="16">
        <f t="shared" ref="R3:R5" si="1">RATE(O3,-Q3,P3,0,0)</f>
        <v>1.8559989355188038E-2</v>
      </c>
      <c r="S3" s="17">
        <f t="shared" ref="S3:S5" si="2">R3*2</f>
        <v>3.7119978710376075E-2</v>
      </c>
      <c r="T3" s="17">
        <f t="shared" ref="T3:T5" si="3">S3/1.16</f>
        <v>3.1999981646875932E-2</v>
      </c>
      <c r="U3" s="17">
        <f t="shared" ref="U3:U5" si="4">T3*12</f>
        <v>0.38399977976251121</v>
      </c>
      <c r="AM3" s="1">
        <v>36</v>
      </c>
      <c r="AN3" s="3">
        <v>1000000</v>
      </c>
      <c r="AO3" s="3">
        <v>42459.79</v>
      </c>
      <c r="AP3" s="16">
        <f t="shared" si="0"/>
        <v>2.5012495506145548E-2</v>
      </c>
      <c r="AQ3" s="16">
        <f t="shared" ref="AQ3:AQ10" si="5">AP3*2</f>
        <v>5.0024991012291097E-2</v>
      </c>
      <c r="AR3" s="16">
        <f t="shared" ref="AR3:AR10" si="6">AQ3/1.16</f>
        <v>4.3124992251975088E-2</v>
      </c>
      <c r="AS3" s="16">
        <f t="shared" ref="AS3:AS10" si="7">AR3*12</f>
        <v>0.51749990702370108</v>
      </c>
      <c r="AT3" s="16">
        <v>0.94899999999999995</v>
      </c>
      <c r="AU3" s="16">
        <f t="shared" ref="AU3:AU10" si="8">AT3*1.16</f>
        <v>1.1008399999999998</v>
      </c>
    </row>
    <row r="4" spans="1:47" s="1" customFormat="1" ht="15" customHeight="1" x14ac:dyDescent="0.25">
      <c r="A4" s="2"/>
      <c r="B4" s="2"/>
      <c r="C4" s="28" t="s">
        <v>8</v>
      </c>
      <c r="D4" s="28"/>
      <c r="E4" s="21" t="s">
        <v>25</v>
      </c>
      <c r="F4" s="2"/>
      <c r="G4" s="31" t="s">
        <v>29</v>
      </c>
      <c r="H4" s="30"/>
      <c r="I4" s="30"/>
      <c r="J4" s="2"/>
      <c r="K4" s="2"/>
      <c r="L4" s="2"/>
      <c r="M4" s="2"/>
      <c r="N4" s="2"/>
      <c r="O4" s="15">
        <v>72</v>
      </c>
      <c r="P4" s="18">
        <v>497000</v>
      </c>
      <c r="Q4" s="18">
        <v>12568.05</v>
      </c>
      <c r="R4" s="16">
        <f t="shared" si="1"/>
        <v>1.855999177746296E-2</v>
      </c>
      <c r="S4" s="17">
        <f t="shared" si="2"/>
        <v>3.711998355492592E-2</v>
      </c>
      <c r="T4" s="17">
        <f t="shared" si="3"/>
        <v>3.1999985823212E-2</v>
      </c>
      <c r="U4" s="17">
        <f t="shared" si="4"/>
        <v>0.38399982987854397</v>
      </c>
      <c r="AM4" s="1">
        <v>48</v>
      </c>
      <c r="AN4" s="3">
        <v>1000000</v>
      </c>
      <c r="AO4" s="3">
        <v>36014.720000000001</v>
      </c>
      <c r="AP4" s="16">
        <f t="shared" si="0"/>
        <v>2.5012502121261243E-2</v>
      </c>
      <c r="AQ4" s="16">
        <f t="shared" si="5"/>
        <v>5.0025004242522486E-2</v>
      </c>
      <c r="AR4" s="16">
        <f t="shared" si="6"/>
        <v>4.3125003657346971E-2</v>
      </c>
      <c r="AS4" s="16">
        <f t="shared" si="7"/>
        <v>0.51750004388816362</v>
      </c>
      <c r="AT4" s="16">
        <v>0.91200000000000003</v>
      </c>
      <c r="AU4" s="16">
        <f t="shared" si="8"/>
        <v>1.05792</v>
      </c>
    </row>
    <row r="5" spans="1:47" s="1" customFormat="1" x14ac:dyDescent="0.25">
      <c r="A5" s="2"/>
      <c r="B5" s="2"/>
      <c r="C5" s="2"/>
      <c r="D5" s="2"/>
      <c r="E5" s="2"/>
      <c r="F5" s="2"/>
      <c r="G5" s="30"/>
      <c r="H5" s="30"/>
      <c r="I5" s="30"/>
      <c r="J5" s="2"/>
      <c r="K5" s="2"/>
      <c r="L5" s="2"/>
      <c r="M5" s="2"/>
      <c r="N5" s="2"/>
      <c r="O5" s="15">
        <v>96</v>
      </c>
      <c r="P5" s="18">
        <v>497000</v>
      </c>
      <c r="Q5" s="18">
        <v>11128.57</v>
      </c>
      <c r="R5" s="16">
        <f t="shared" si="1"/>
        <v>1.8559997634293605E-2</v>
      </c>
      <c r="S5" s="17">
        <f t="shared" si="2"/>
        <v>3.7119995268587211E-2</v>
      </c>
      <c r="T5" s="17">
        <f t="shared" si="3"/>
        <v>3.1999995921195873E-2</v>
      </c>
      <c r="U5" s="17">
        <f t="shared" si="4"/>
        <v>0.38399995105435047</v>
      </c>
      <c r="AM5" s="1">
        <v>60</v>
      </c>
      <c r="AN5" s="3">
        <v>1000000</v>
      </c>
      <c r="AO5" s="3">
        <v>32362.61</v>
      </c>
      <c r="AP5" s="16">
        <f t="shared" si="0"/>
        <v>2.5012499913686589E-2</v>
      </c>
      <c r="AQ5" s="16">
        <f t="shared" si="5"/>
        <v>5.0024999827373177E-2</v>
      </c>
      <c r="AR5" s="16">
        <f t="shared" si="6"/>
        <v>4.3124999851183773E-2</v>
      </c>
      <c r="AS5" s="16">
        <f t="shared" si="7"/>
        <v>0.51749999821420523</v>
      </c>
      <c r="AT5" s="16">
        <v>0.876</v>
      </c>
      <c r="AU5" s="16">
        <f t="shared" si="8"/>
        <v>1.01616</v>
      </c>
    </row>
    <row r="6" spans="1:47" s="1" customFormat="1" x14ac:dyDescent="0.25">
      <c r="A6" s="2"/>
      <c r="B6" s="2"/>
      <c r="C6" s="28" t="str">
        <f>IF(E4="MONTO","Ingrese el Monto:","Ingrese la capacidad:")</f>
        <v>Ingrese el Monto:</v>
      </c>
      <c r="D6" s="28"/>
      <c r="E6" s="22">
        <v>100000</v>
      </c>
      <c r="F6" s="2"/>
      <c r="G6" s="30"/>
      <c r="H6" s="30"/>
      <c r="I6" s="30"/>
      <c r="J6" s="5"/>
      <c r="K6" s="6"/>
      <c r="L6" s="2"/>
      <c r="M6" s="2"/>
      <c r="N6" s="2"/>
      <c r="O6" s="4"/>
      <c r="P6" s="4"/>
      <c r="Q6" s="4"/>
      <c r="AM6" s="1">
        <v>72</v>
      </c>
      <c r="AN6" s="3">
        <v>1000000</v>
      </c>
      <c r="AO6" s="3">
        <v>30093.84</v>
      </c>
      <c r="AP6" s="16">
        <f t="shared" si="0"/>
        <v>2.5012505188389655E-2</v>
      </c>
      <c r="AQ6" s="16">
        <f t="shared" si="5"/>
        <v>5.0025010376779311E-2</v>
      </c>
      <c r="AR6" s="16">
        <f t="shared" si="6"/>
        <v>4.3125008945499407E-2</v>
      </c>
      <c r="AS6" s="16">
        <f t="shared" si="7"/>
        <v>0.51750010734599283</v>
      </c>
      <c r="AT6" s="16">
        <v>0.84499999999999997</v>
      </c>
      <c r="AU6" s="16">
        <f t="shared" si="8"/>
        <v>0.98019999999999985</v>
      </c>
    </row>
    <row r="7" spans="1:47" s="1" customFormat="1" x14ac:dyDescent="0.25">
      <c r="A7" s="2"/>
      <c r="B7" s="2"/>
      <c r="C7" s="2"/>
      <c r="D7" s="2"/>
      <c r="E7" s="2"/>
      <c r="F7" s="12"/>
      <c r="G7" s="12"/>
      <c r="H7" s="10"/>
      <c r="I7" s="13"/>
      <c r="J7" s="2"/>
      <c r="K7" s="2"/>
      <c r="L7" s="2"/>
      <c r="M7" s="2"/>
      <c r="N7" s="2"/>
      <c r="AM7" s="1">
        <v>84</v>
      </c>
      <c r="AN7" s="3">
        <v>1000000</v>
      </c>
      <c r="AO7" s="3">
        <v>28603.07</v>
      </c>
      <c r="AP7" s="16">
        <f t="shared" si="0"/>
        <v>2.5012503821465259E-2</v>
      </c>
      <c r="AQ7" s="16">
        <f t="shared" si="5"/>
        <v>5.0025007642930518E-2</v>
      </c>
      <c r="AR7" s="16">
        <f t="shared" si="6"/>
        <v>4.3125006588733208E-2</v>
      </c>
      <c r="AS7" s="16">
        <f t="shared" si="7"/>
        <v>0.51750007906479856</v>
      </c>
      <c r="AT7" s="16">
        <v>0.81799999999999995</v>
      </c>
      <c r="AU7" s="16">
        <f t="shared" si="8"/>
        <v>0.94887999999999983</v>
      </c>
    </row>
    <row r="8" spans="1:47" s="1" customFormat="1" x14ac:dyDescent="0.25">
      <c r="A8" s="2"/>
      <c r="B8" s="2"/>
      <c r="C8" s="11" t="s">
        <v>3</v>
      </c>
      <c r="D8" s="11" t="s">
        <v>4</v>
      </c>
      <c r="E8" s="11" t="s">
        <v>19</v>
      </c>
      <c r="F8" s="11" t="s">
        <v>23</v>
      </c>
      <c r="G8" s="11" t="s">
        <v>24</v>
      </c>
      <c r="H8" s="11" t="s">
        <v>9</v>
      </c>
      <c r="I8" s="11" t="s">
        <v>6</v>
      </c>
      <c r="J8" s="11" t="s">
        <v>10</v>
      </c>
      <c r="K8" s="11" t="s">
        <v>11</v>
      </c>
      <c r="L8" s="11" t="s">
        <v>5</v>
      </c>
      <c r="M8" s="2"/>
      <c r="N8" s="2"/>
      <c r="AM8" s="1">
        <v>96</v>
      </c>
      <c r="AN8" s="3">
        <v>1000000</v>
      </c>
      <c r="AO8" s="3">
        <v>27587.08</v>
      </c>
      <c r="AP8" s="16">
        <f t="shared" si="0"/>
        <v>2.5012501357328142E-2</v>
      </c>
      <c r="AQ8" s="16">
        <f t="shared" si="5"/>
        <v>5.0025002714656285E-2</v>
      </c>
      <c r="AR8" s="16">
        <f t="shared" si="6"/>
        <v>4.3125002340220937E-2</v>
      </c>
      <c r="AS8" s="16">
        <f t="shared" si="7"/>
        <v>0.51750002808265128</v>
      </c>
      <c r="AT8" s="16">
        <v>0.79400000000000004</v>
      </c>
      <c r="AU8" s="16">
        <f t="shared" si="8"/>
        <v>0.92103999999999997</v>
      </c>
    </row>
    <row r="9" spans="1:47" s="1" customFormat="1" x14ac:dyDescent="0.25">
      <c r="A9" s="2">
        <v>24</v>
      </c>
      <c r="B9" s="2"/>
      <c r="C9" s="7" t="str">
        <f>CONCATENATE(A9," Q")</f>
        <v>24 Q</v>
      </c>
      <c r="D9" s="8">
        <f>IF(IF($E$4="MONTO",IF((IF(MOD($E$6,500)=0,$E$6,$E$6-MOD($E$6,500)))&gt;1000000,1000000,IF(MOD($E$6,500)=0,$E$6,$E$6-MOD($E$6,500))),IF(((1-(1+(F9/2))^(-A9))/((F9/2)))*$E$6&gt;1000000,1000000,IF(MOD(((1-(1+(F9/2))^(-A9))/(F9))*$E$6,500)=0,((1-(1+(F9/2))^(-A9))/((F9/2)))*$E$6,((1-(1+(F9/2))^(-A9))/((F9/2)))*$E$6-MOD(((1-(1+(F9/2))^(-A9))/((F9/2)))*$E$6,500))))&lt;10000,0,
IF($E$4="MONTO",IF((IF(MOD($E$6,500)=0,$E$6,$E$6-MOD($E$6,500)))&gt;1000000,1000000,IF(MOD($E$6,500)=0,$E$6,$E$6-MOD($E$6,500))),IF(((1-(1+(F9/2))^(-A9))/((F9/2)))*$E$6&gt;1000000,1000000,IF(MOD(((1-(1+(F9/2))^(-A9))/(F9))*$E$6,500)=0,((1-(1+(F9/2))^(-A9))/((F9/2)))*$E$6,((1-(1+(F9/2))^(-A9))/((F9/2)))*$E$6-MOD(((1-(1+(F9/2))^(-A9))/((F9/2)))*$E$6,500)))))</f>
        <v>100000</v>
      </c>
      <c r="E9" s="8">
        <f>-PMT(F9/2,A9,D9,,0)</f>
        <v>5592.0540000000165</v>
      </c>
      <c r="F9" s="14">
        <f>VLOOKUP(A9,AM1:AQ6,5,0)</f>
        <v>5.0024993962575121E-2</v>
      </c>
      <c r="G9" s="14">
        <f>F9/1.16</f>
        <v>4.3124994795323383E-2</v>
      </c>
      <c r="H9" s="14">
        <f>IFERROR(((L9-I9)/I9)/(A9/2),0)</f>
        <v>2.8507746666666986E-2</v>
      </c>
      <c r="I9" s="8">
        <f>D9</f>
        <v>100000</v>
      </c>
      <c r="J9" s="8">
        <f t="shared" ref="J9:J17" si="9">(L9-I9)/1.16</f>
        <v>29490.772413793435</v>
      </c>
      <c r="K9" s="8">
        <f t="shared" ref="K9:K17" si="10">J9*16%</f>
        <v>4718.5235862069494</v>
      </c>
      <c r="L9" s="8">
        <f>E9*A9</f>
        <v>134209.29600000038</v>
      </c>
      <c r="M9" s="2"/>
      <c r="N9" s="2"/>
      <c r="AM9" s="1">
        <v>108</v>
      </c>
      <c r="AN9" s="3">
        <v>1000000</v>
      </c>
      <c r="AO9" s="3">
        <v>26877.32</v>
      </c>
      <c r="AP9" s="16">
        <f t="shared" si="0"/>
        <v>2.5012502205458712E-2</v>
      </c>
      <c r="AQ9" s="16">
        <f t="shared" si="5"/>
        <v>5.0025004410917423E-2</v>
      </c>
      <c r="AR9" s="16">
        <f t="shared" si="6"/>
        <v>4.3125003802515022E-2</v>
      </c>
      <c r="AS9" s="16">
        <f t="shared" si="7"/>
        <v>0.51750004563018026</v>
      </c>
      <c r="AT9" s="16">
        <v>0.77300000000000002</v>
      </c>
      <c r="AU9" s="16">
        <f t="shared" si="8"/>
        <v>0.89667999999999992</v>
      </c>
    </row>
    <row r="10" spans="1:47" s="1" customFormat="1" x14ac:dyDescent="0.25">
      <c r="A10" s="2">
        <v>36</v>
      </c>
      <c r="B10" s="2"/>
      <c r="C10" s="7" t="str">
        <f t="shared" ref="C10:C17" si="11">CONCATENATE(A10," Q")</f>
        <v>36 Q</v>
      </c>
      <c r="D10" s="8">
        <f t="shared" ref="D10:D17" si="12">IF(IF($E$4="MONTO",IF((IF(MOD($E$6,500)=0,$E$6,$E$6-MOD($E$6,500)))&gt;1000000,1000000,IF(MOD($E$6,500)=0,$E$6,$E$6-MOD($E$6,500))),IF(((1-(1+(F10/2))^(-A10))/((F10/2)))*$E$6&gt;1000000,1000000,IF(MOD(((1-(1+(F10/2))^(-A10))/(F10))*$E$6,500)=0,((1-(1+(F10/2))^(-A10))/((F10/2)))*$E$6,((1-(1+(F10/2))^(-A10))/((F10/2)))*$E$6-MOD(((1-(1+(F10/2))^(-A10))/((F10/2)))*$E$6,500))))&lt;10000,0,
IF($E$4="MONTO",IF((IF(MOD($E$6,500)=0,$E$6,$E$6-MOD($E$6,500)))&gt;1000000,1000000,IF(MOD($E$6,500)=0,$E$6,$E$6-MOD($E$6,500))),IF(((1-(1+(F10/2))^(-A10))/((F10/2)))*$E$6&gt;1000000,1000000,IF(MOD(((1-(1+(F10/2))^(-A10))/(F10))*$E$6,500)=0,((1-(1+(F10/2))^(-A10))/((F10/2)))*$E$6,((1-(1+(F10/2))^(-A10))/((F10/2)))*$E$6-MOD(((1-(1+(F10/2))^(-A10))/((F10/2)))*$E$6,500)))))</f>
        <v>100000</v>
      </c>
      <c r="E10" s="8">
        <f t="shared" ref="E10:E17" si="13">-PMT(F10/2,A10,D10,,0)</f>
        <v>4245.9790000000185</v>
      </c>
      <c r="F10" s="14">
        <f>VLOOKUP(A10,AM2:AQ7,5,0)</f>
        <v>5.0024991012291097E-2</v>
      </c>
      <c r="G10" s="14">
        <f t="shared" ref="G10:G17" si="14">F10/1.16</f>
        <v>4.3124992251975088E-2</v>
      </c>
      <c r="H10" s="14">
        <f>IFERROR(((L10-I10)/I10)/(A10/2),0)</f>
        <v>2.936402444444482E-2</v>
      </c>
      <c r="I10" s="8">
        <f>D10</f>
        <v>100000</v>
      </c>
      <c r="J10" s="8">
        <f t="shared" si="9"/>
        <v>45564.865517241968</v>
      </c>
      <c r="K10" s="8">
        <f t="shared" si="10"/>
        <v>7290.3784827587151</v>
      </c>
      <c r="L10" s="8">
        <f>E10*A10</f>
        <v>152855.24400000068</v>
      </c>
      <c r="M10" s="2"/>
      <c r="N10" s="2"/>
      <c r="AM10" s="1">
        <v>120</v>
      </c>
      <c r="AN10" s="3">
        <v>1000000</v>
      </c>
      <c r="AO10" s="3">
        <v>26372.87</v>
      </c>
      <c r="AP10" s="16">
        <f t="shared" si="0"/>
        <v>2.5012496453010499E-2</v>
      </c>
      <c r="AQ10" s="16">
        <f t="shared" si="5"/>
        <v>5.0024992906020999E-2</v>
      </c>
      <c r="AR10" s="16">
        <f t="shared" si="6"/>
        <v>4.3124993884500862E-2</v>
      </c>
      <c r="AS10" s="16">
        <f t="shared" si="7"/>
        <v>0.51749992661401034</v>
      </c>
      <c r="AT10" s="16">
        <v>0.754</v>
      </c>
      <c r="AU10" s="16">
        <f t="shared" si="8"/>
        <v>0.87463999999999997</v>
      </c>
    </row>
    <row r="11" spans="1:47" s="1" customFormat="1" x14ac:dyDescent="0.25">
      <c r="A11" s="2">
        <v>48</v>
      </c>
      <c r="B11" s="2"/>
      <c r="C11" s="7" t="str">
        <f t="shared" si="11"/>
        <v>48 Q</v>
      </c>
      <c r="D11" s="8">
        <f t="shared" si="12"/>
        <v>100000</v>
      </c>
      <c r="E11" s="8">
        <f t="shared" si="13"/>
        <v>3601.472000000002</v>
      </c>
      <c r="F11" s="14">
        <f>VLOOKUP(A11,AM3:AQ8,5,0)</f>
        <v>5.0025004242522486E-2</v>
      </c>
      <c r="G11" s="14">
        <f t="shared" si="14"/>
        <v>4.3125003657346971E-2</v>
      </c>
      <c r="H11" s="14">
        <f>IFERROR(((L11-I11)/I11)/(A11/2),0)</f>
        <v>3.0362773333333374E-2</v>
      </c>
      <c r="I11" s="8">
        <f>D11</f>
        <v>100000</v>
      </c>
      <c r="J11" s="8">
        <f t="shared" si="9"/>
        <v>62819.531034482854</v>
      </c>
      <c r="K11" s="8">
        <f t="shared" si="10"/>
        <v>10051.124965517256</v>
      </c>
      <c r="L11" s="8">
        <f>E11*A11</f>
        <v>172870.6560000001</v>
      </c>
      <c r="M11" s="2"/>
      <c r="N11" s="2"/>
      <c r="AN11" s="3"/>
      <c r="AO11" s="3"/>
      <c r="AP11" s="16"/>
      <c r="AQ11" s="16"/>
      <c r="AR11" s="16"/>
      <c r="AS11" s="16"/>
    </row>
    <row r="12" spans="1:47" s="1" customFormat="1" x14ac:dyDescent="0.25">
      <c r="A12" s="2">
        <v>60</v>
      </c>
      <c r="B12" s="2"/>
      <c r="C12" s="7" t="str">
        <f t="shared" si="11"/>
        <v>60 Q</v>
      </c>
      <c r="D12" s="8">
        <f t="shared" si="12"/>
        <v>100000</v>
      </c>
      <c r="E12" s="8">
        <f t="shared" si="13"/>
        <v>3236.2609999999963</v>
      </c>
      <c r="F12" s="14">
        <f>VLOOKUP(A12,AM4:AQ9,5,0)</f>
        <v>5.0024999827373177E-2</v>
      </c>
      <c r="G12" s="14">
        <f t="shared" si="14"/>
        <v>4.3124999851183773E-2</v>
      </c>
      <c r="H12" s="14">
        <f>IFERROR(((L12-I12)/I12)/(A12/2),0)</f>
        <v>3.1391886666666591E-2</v>
      </c>
      <c r="I12" s="8">
        <f>D12</f>
        <v>100000</v>
      </c>
      <c r="J12" s="8">
        <f t="shared" si="9"/>
        <v>81185.91379310326</v>
      </c>
      <c r="K12" s="8">
        <f t="shared" si="10"/>
        <v>12989.746206896521</v>
      </c>
      <c r="L12" s="8">
        <f>E12*A12</f>
        <v>194175.65999999977</v>
      </c>
      <c r="M12" s="2"/>
      <c r="N12" s="2"/>
      <c r="AN12" s="3"/>
      <c r="AO12" s="3"/>
    </row>
    <row r="13" spans="1:47" s="1" customFormat="1" x14ac:dyDescent="0.25">
      <c r="A13" s="2">
        <v>72</v>
      </c>
      <c r="B13" s="2"/>
      <c r="C13" s="7" t="str">
        <f t="shared" si="11"/>
        <v>72 Q</v>
      </c>
      <c r="D13" s="8">
        <f t="shared" si="12"/>
        <v>100000</v>
      </c>
      <c r="E13" s="8">
        <f t="shared" si="13"/>
        <v>3009.3840000000014</v>
      </c>
      <c r="F13" s="14">
        <f>VLOOKUP(A13,AM5:AQ10,5,0)</f>
        <v>5.0025010376779311E-2</v>
      </c>
      <c r="G13" s="14">
        <f t="shared" si="14"/>
        <v>4.3125008945499407E-2</v>
      </c>
      <c r="H13" s="14">
        <f>IFERROR(((L13-I13)/I13)/(A13/2),0)</f>
        <v>3.2409902222222252E-2</v>
      </c>
      <c r="I13" s="8">
        <f>D13</f>
        <v>100000</v>
      </c>
      <c r="J13" s="8">
        <f t="shared" si="9"/>
        <v>100582.45517241389</v>
      </c>
      <c r="K13" s="8">
        <f t="shared" si="10"/>
        <v>16093.192827586223</v>
      </c>
      <c r="L13" s="8">
        <f>E13*A13</f>
        <v>216675.6480000001</v>
      </c>
      <c r="M13" s="2"/>
      <c r="N13" s="2"/>
      <c r="AN13" s="3"/>
      <c r="AO13" s="3"/>
    </row>
    <row r="14" spans="1:47" s="1" customFormat="1" x14ac:dyDescent="0.25">
      <c r="A14" s="2">
        <v>84</v>
      </c>
      <c r="B14" s="2"/>
      <c r="C14" s="7" t="str">
        <f t="shared" si="11"/>
        <v>84 Q</v>
      </c>
      <c r="D14" s="8">
        <f t="shared" si="12"/>
        <v>100000</v>
      </c>
      <c r="E14" s="8">
        <f t="shared" si="13"/>
        <v>2860.3069999999989</v>
      </c>
      <c r="F14" s="14">
        <f t="shared" ref="F14:F17" si="15">VLOOKUP(A14,AM6:AQ11,5,0)</f>
        <v>5.0025007642930518E-2</v>
      </c>
      <c r="G14" s="14">
        <f t="shared" si="14"/>
        <v>4.3125006588733208E-2</v>
      </c>
      <c r="H14" s="14">
        <f t="shared" ref="H14:H17" si="16">IFERROR(((L14-I14)/I14)/(A14/2),0)</f>
        <v>3.3396616190476167E-2</v>
      </c>
      <c r="I14" s="8">
        <f t="shared" ref="I14:I17" si="17">D14</f>
        <v>100000</v>
      </c>
      <c r="J14" s="8">
        <f t="shared" si="9"/>
        <v>120918.78275862063</v>
      </c>
      <c r="K14" s="8">
        <f t="shared" si="10"/>
        <v>19347.005241379302</v>
      </c>
      <c r="L14" s="8">
        <f t="shared" ref="L14:L17" si="18">E14*A14</f>
        <v>240265.78799999991</v>
      </c>
      <c r="M14" s="2"/>
      <c r="N14" s="2"/>
      <c r="AN14" s="3"/>
      <c r="AO14" s="3"/>
    </row>
    <row r="15" spans="1:47" s="1" customFormat="1" x14ac:dyDescent="0.25">
      <c r="A15" s="2">
        <v>96</v>
      </c>
      <c r="B15" s="2"/>
      <c r="C15" s="7" t="str">
        <f t="shared" si="11"/>
        <v>96 Q</v>
      </c>
      <c r="D15" s="8">
        <f t="shared" si="12"/>
        <v>100000</v>
      </c>
      <c r="E15" s="8">
        <f t="shared" si="13"/>
        <v>2758.7079999999964</v>
      </c>
      <c r="F15" s="14">
        <f t="shared" si="15"/>
        <v>5.0025002714656285E-2</v>
      </c>
      <c r="G15" s="14">
        <f t="shared" si="14"/>
        <v>4.3125002340220937E-2</v>
      </c>
      <c r="H15" s="14">
        <f t="shared" si="16"/>
        <v>3.4340826666666595E-2</v>
      </c>
      <c r="I15" s="8">
        <f t="shared" si="17"/>
        <v>100000</v>
      </c>
      <c r="J15" s="8">
        <f t="shared" si="9"/>
        <v>142099.9724137928</v>
      </c>
      <c r="K15" s="8">
        <f t="shared" si="10"/>
        <v>22735.995586206849</v>
      </c>
      <c r="L15" s="8">
        <f t="shared" si="18"/>
        <v>264835.96799999964</v>
      </c>
      <c r="M15" s="2"/>
      <c r="N15" s="2"/>
      <c r="AN15" s="3"/>
      <c r="AO15" s="3"/>
    </row>
    <row r="16" spans="1:47" s="1" customFormat="1" x14ac:dyDescent="0.25">
      <c r="A16" s="2">
        <v>108</v>
      </c>
      <c r="B16" s="2"/>
      <c r="C16" s="7" t="str">
        <f t="shared" si="11"/>
        <v>108 Q</v>
      </c>
      <c r="D16" s="8">
        <f t="shared" si="12"/>
        <v>100000</v>
      </c>
      <c r="E16" s="8">
        <f t="shared" si="13"/>
        <v>2687.7320000000004</v>
      </c>
      <c r="F16" s="14">
        <f t="shared" si="15"/>
        <v>5.0025004410917423E-2</v>
      </c>
      <c r="G16" s="14">
        <f t="shared" si="14"/>
        <v>4.3125003802515022E-2</v>
      </c>
      <c r="H16" s="14">
        <f t="shared" si="16"/>
        <v>3.5236121481481489E-2</v>
      </c>
      <c r="I16" s="8">
        <f t="shared" si="17"/>
        <v>100000</v>
      </c>
      <c r="J16" s="8">
        <f t="shared" si="9"/>
        <v>164030.22068965522</v>
      </c>
      <c r="K16" s="8">
        <f t="shared" si="10"/>
        <v>26244.835310344835</v>
      </c>
      <c r="L16" s="8">
        <f t="shared" si="18"/>
        <v>290275.05600000004</v>
      </c>
      <c r="M16" s="2"/>
      <c r="N16" s="2"/>
      <c r="AN16" s="3"/>
      <c r="AO16" s="3"/>
    </row>
    <row r="17" spans="1:41" s="1" customFormat="1" x14ac:dyDescent="0.25">
      <c r="A17" s="2">
        <v>120</v>
      </c>
      <c r="B17" s="2"/>
      <c r="C17" s="7" t="str">
        <f t="shared" si="11"/>
        <v>120 Q</v>
      </c>
      <c r="D17" s="8">
        <f t="shared" si="12"/>
        <v>100000</v>
      </c>
      <c r="E17" s="8">
        <f t="shared" si="13"/>
        <v>2637.2870000000021</v>
      </c>
      <c r="F17" s="14">
        <f t="shared" si="15"/>
        <v>5.0024992906020999E-2</v>
      </c>
      <c r="G17" s="14">
        <f t="shared" si="14"/>
        <v>4.3124993884500862E-2</v>
      </c>
      <c r="H17" s="14">
        <f t="shared" si="16"/>
        <v>3.6079073333333371E-2</v>
      </c>
      <c r="I17" s="8">
        <f t="shared" si="17"/>
        <v>100000</v>
      </c>
      <c r="J17" s="8">
        <f t="shared" si="9"/>
        <v>186615.89655172435</v>
      </c>
      <c r="K17" s="8">
        <f t="shared" si="10"/>
        <v>29858.543448275897</v>
      </c>
      <c r="L17" s="8">
        <f t="shared" si="18"/>
        <v>316474.44000000024</v>
      </c>
      <c r="M17" s="2"/>
      <c r="N17" s="2"/>
      <c r="AN17" s="3"/>
      <c r="AO17" s="3"/>
    </row>
    <row r="18" spans="1:41" s="1" customFormat="1" x14ac:dyDescent="0.25">
      <c r="A18" s="2"/>
      <c r="B18" s="2"/>
      <c r="C18" s="23" t="s">
        <v>7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AN18" s="3"/>
      <c r="AO18" s="3"/>
    </row>
    <row r="19" spans="1:41" s="1" customFormat="1" x14ac:dyDescent="0.25">
      <c r="A19" s="2"/>
      <c r="B19" s="2"/>
      <c r="C19" s="23" t="s">
        <v>20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AN19" s="3"/>
      <c r="AO19" s="3"/>
    </row>
    <row r="20" spans="1:41" s="1" customForma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AN20" s="3"/>
      <c r="AO20" s="3"/>
    </row>
    <row r="21" spans="1:41" s="1" customForma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AN21" s="3"/>
      <c r="AO21" s="3"/>
    </row>
    <row r="22" spans="1:41" s="1" customForma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AN22" s="3"/>
      <c r="AO22" s="3"/>
    </row>
    <row r="23" spans="1:41" s="1" customFormat="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AN23" s="3"/>
      <c r="AO23" s="3"/>
    </row>
    <row r="24" spans="1:41" s="1" customForma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AN24" s="3"/>
      <c r="AO24" s="3"/>
    </row>
    <row r="25" spans="1:41" s="1" customForma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AN25" s="3"/>
      <c r="AO25" s="3"/>
    </row>
    <row r="26" spans="1:41" s="1" customForma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AN26" s="3"/>
      <c r="AO26" s="3"/>
    </row>
    <row r="27" spans="1:41" s="1" customForma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AN27" s="3"/>
      <c r="AO27" s="3"/>
    </row>
    <row r="28" spans="1:4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4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4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4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41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2:14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</sheetData>
  <sheetProtection algorithmName="SHA-512" hashValue="ryEjvkpdTUlLs16aT4Z5FlGeMXzQPWxcmM0pPayLaRb8e4VlZ1Gx0Z16Fb4NvHlE9KSLBidevZSrqLKa2XYkWw==" saltValue="lVLD3Az7YBQUaNEZNq4cvw==" spinCount="100000" sheet="1" objects="1" scenarios="1" selectLockedCells="1"/>
  <mergeCells count="6">
    <mergeCell ref="C2:D2"/>
    <mergeCell ref="E2:G2"/>
    <mergeCell ref="C3:D3"/>
    <mergeCell ref="C4:D4"/>
    <mergeCell ref="G4:I6"/>
    <mergeCell ref="C6:D6"/>
  </mergeCells>
  <dataValidations count="2">
    <dataValidation type="custom" allowBlank="1" showInputMessage="1" showErrorMessage="1" sqref="E6">
      <formula1>E6&gt;=0</formula1>
    </dataValidation>
    <dataValidation type="list" allowBlank="1" showInputMessage="1" showErrorMessage="1" sqref="E4">
      <formula1>"Monto, Capacidad"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CORRESPONSAL 3139</vt:lpstr>
      <vt:lpstr>CORRESPONSAL 4241 - TASA VIP</vt:lpstr>
      <vt:lpstr>CORRESPONSAL 4265 COMPRA INTER</vt:lpstr>
      <vt:lpstr>CORRESPONSAL 2071-LQ3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dcterms:created xsi:type="dcterms:W3CDTF">2022-04-20T16:01:06Z</dcterms:created>
  <dcterms:modified xsi:type="dcterms:W3CDTF">2025-08-21T16:48:30Z</dcterms:modified>
</cp:coreProperties>
</file>