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ocuments\"/>
    </mc:Choice>
  </mc:AlternateContent>
  <bookViews>
    <workbookView showHorizontalScroll="0" showVerticalScroll="0" xWindow="0" yWindow="0" windowWidth="24000" windowHeight="9735"/>
  </bookViews>
  <sheets>
    <sheet name="3440-CREDITO NUEVO" sheetId="1" r:id="rId1"/>
    <sheet name="3441-RENOVACION MN A MN" sheetId="9" r:id="rId2"/>
    <sheet name="3269-INTERCOMPAÑIA MN A CSP" sheetId="11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11" l="1"/>
  <c r="I12" i="11" s="1"/>
  <c r="C12" i="11"/>
  <c r="D11" i="11"/>
  <c r="I11" i="11" s="1"/>
  <c r="C11" i="11"/>
  <c r="D10" i="11"/>
  <c r="I10" i="11" s="1"/>
  <c r="C10" i="11"/>
  <c r="C6" i="11"/>
  <c r="R5" i="11"/>
  <c r="S5" i="11" s="1"/>
  <c r="T5" i="11" s="1"/>
  <c r="U5" i="11" s="1"/>
  <c r="AT4" i="11"/>
  <c r="AU4" i="11" s="1"/>
  <c r="R4" i="11"/>
  <c r="S4" i="11" s="1"/>
  <c r="T4" i="11" s="1"/>
  <c r="U4" i="11" s="1"/>
  <c r="AT3" i="11"/>
  <c r="AU3" i="11" s="1"/>
  <c r="R3" i="11"/>
  <c r="S3" i="11" s="1"/>
  <c r="T3" i="11" s="1"/>
  <c r="U3" i="11" s="1"/>
  <c r="AT2" i="11"/>
  <c r="AU2" i="11" s="1"/>
  <c r="R2" i="11"/>
  <c r="S2" i="11" s="1"/>
  <c r="T2" i="11" s="1"/>
  <c r="U2" i="11" s="1"/>
  <c r="F11" i="11" l="1"/>
  <c r="AV4" i="11"/>
  <c r="AW4" i="11" s="1"/>
  <c r="F10" i="11"/>
  <c r="AV2" i="11"/>
  <c r="AW2" i="11" s="1"/>
  <c r="F12" i="11"/>
  <c r="AV3" i="11"/>
  <c r="AW3" i="11" s="1"/>
  <c r="G10" i="11" l="1"/>
  <c r="E10" i="11"/>
  <c r="L10" i="11" s="1"/>
  <c r="E11" i="11"/>
  <c r="L11" i="11" s="1"/>
  <c r="G11" i="11"/>
  <c r="E12" i="11"/>
  <c r="L12" i="11" s="1"/>
  <c r="G12" i="11"/>
  <c r="J12" i="11" l="1"/>
  <c r="K12" i="11" s="1"/>
  <c r="H12" i="11"/>
  <c r="J11" i="11"/>
  <c r="K11" i="11" s="1"/>
  <c r="H11" i="11"/>
  <c r="H10" i="11"/>
  <c r="J10" i="11"/>
  <c r="K10" i="11" s="1"/>
  <c r="AT6" i="9" l="1"/>
  <c r="AU6" i="9" s="1"/>
  <c r="AV6" i="9" s="1"/>
  <c r="AW6" i="9" s="1"/>
  <c r="AT5" i="9"/>
  <c r="AU5" i="9" s="1"/>
  <c r="AV5" i="9" s="1"/>
  <c r="AW5" i="9" s="1"/>
  <c r="AT4" i="9"/>
  <c r="AU4" i="9" s="1"/>
  <c r="AV4" i="9" s="1"/>
  <c r="AW4" i="9" s="1"/>
  <c r="AT3" i="9"/>
  <c r="AU3" i="9" s="1"/>
  <c r="AV3" i="9" s="1"/>
  <c r="AW3" i="9" s="1"/>
  <c r="D14" i="9"/>
  <c r="I14" i="9" s="1"/>
  <c r="C14" i="9"/>
  <c r="D13" i="9"/>
  <c r="I13" i="9" s="1"/>
  <c r="C13" i="9"/>
  <c r="D12" i="9"/>
  <c r="I12" i="9" s="1"/>
  <c r="C12" i="9"/>
  <c r="D11" i="9"/>
  <c r="I11" i="9" s="1"/>
  <c r="C11" i="9"/>
  <c r="D10" i="9"/>
  <c r="I10" i="9" s="1"/>
  <c r="C10" i="9"/>
  <c r="C6" i="9"/>
  <c r="R5" i="9"/>
  <c r="S5" i="9" s="1"/>
  <c r="T5" i="9" s="1"/>
  <c r="U5" i="9" s="1"/>
  <c r="R4" i="9"/>
  <c r="S4" i="9" s="1"/>
  <c r="T4" i="9" s="1"/>
  <c r="U4" i="9" s="1"/>
  <c r="R3" i="9"/>
  <c r="S3" i="9" s="1"/>
  <c r="T3" i="9" s="1"/>
  <c r="U3" i="9" s="1"/>
  <c r="AT2" i="9"/>
  <c r="AU2" i="9" s="1"/>
  <c r="R2" i="9"/>
  <c r="S2" i="9" s="1"/>
  <c r="T2" i="9" s="1"/>
  <c r="U2" i="9" s="1"/>
  <c r="AV2" i="9" l="1"/>
  <c r="AW2" i="9" s="1"/>
  <c r="F10" i="9"/>
  <c r="F11" i="9"/>
  <c r="F12" i="9"/>
  <c r="F13" i="9"/>
  <c r="F14" i="9"/>
  <c r="D14" i="1"/>
  <c r="I14" i="1" s="1"/>
  <c r="D15" i="1"/>
  <c r="I15" i="1" s="1"/>
  <c r="G14" i="9" l="1"/>
  <c r="E14" i="9"/>
  <c r="L14" i="9" s="1"/>
  <c r="E13" i="9"/>
  <c r="L13" i="9" s="1"/>
  <c r="G13" i="9"/>
  <c r="G11" i="9"/>
  <c r="E11" i="9"/>
  <c r="L11" i="9" s="1"/>
  <c r="E10" i="9"/>
  <c r="L10" i="9" s="1"/>
  <c r="G10" i="9"/>
  <c r="G12" i="9"/>
  <c r="E12" i="9"/>
  <c r="L12" i="9" s="1"/>
  <c r="C13" i="1"/>
  <c r="C12" i="1"/>
  <c r="C11" i="1"/>
  <c r="C10" i="1"/>
  <c r="J10" i="9" l="1"/>
  <c r="K10" i="9" s="1"/>
  <c r="H10" i="9"/>
  <c r="J14" i="9"/>
  <c r="K14" i="9" s="1"/>
  <c r="H14" i="9"/>
  <c r="J13" i="9"/>
  <c r="K13" i="9" s="1"/>
  <c r="H13" i="9"/>
  <c r="J11" i="9"/>
  <c r="K11" i="9" s="1"/>
  <c r="H11" i="9"/>
  <c r="H12" i="9"/>
  <c r="J12" i="9"/>
  <c r="K12" i="9" s="1"/>
  <c r="C14" i="1"/>
  <c r="AT2" i="1"/>
  <c r="AU2" i="1" s="1"/>
  <c r="AT3" i="1"/>
  <c r="AU3" i="1" s="1"/>
  <c r="AT4" i="1"/>
  <c r="AU4" i="1" s="1"/>
  <c r="AT5" i="1"/>
  <c r="AU5" i="1" s="1"/>
  <c r="AT6" i="1"/>
  <c r="AU6" i="1" s="1"/>
  <c r="AT7" i="1"/>
  <c r="AU7" i="1" s="1"/>
  <c r="F14" i="1" l="1"/>
  <c r="F13" i="1"/>
  <c r="AV2" i="1"/>
  <c r="AW2" i="1" s="1"/>
  <c r="F10" i="1"/>
  <c r="G10" i="1" s="1"/>
  <c r="AV4" i="1"/>
  <c r="AW4" i="1" s="1"/>
  <c r="F12" i="1"/>
  <c r="G12" i="1" s="1"/>
  <c r="F15" i="1"/>
  <c r="G15" i="1" s="1"/>
  <c r="C15" i="1"/>
  <c r="AV3" i="1"/>
  <c r="AW3" i="1" s="1"/>
  <c r="F11" i="1"/>
  <c r="G11" i="1" s="1"/>
  <c r="AV6" i="1"/>
  <c r="AW6" i="1" s="1"/>
  <c r="G13" i="1"/>
  <c r="AV7" i="1"/>
  <c r="AW7" i="1" s="1"/>
  <c r="AV5" i="1"/>
  <c r="AW5" i="1" s="1"/>
  <c r="E15" i="1" l="1"/>
  <c r="L15" i="1" s="1"/>
  <c r="J15" i="1" s="1"/>
  <c r="K15" i="1" s="1"/>
  <c r="E14" i="1"/>
  <c r="L14" i="1" s="1"/>
  <c r="G14" i="1"/>
  <c r="D10" i="1"/>
  <c r="E10" i="1" s="1"/>
  <c r="L10" i="1" s="1"/>
  <c r="D11" i="1"/>
  <c r="D13" i="1"/>
  <c r="D12" i="1"/>
  <c r="R5" i="1"/>
  <c r="S5" i="1" s="1"/>
  <c r="T5" i="1" s="1"/>
  <c r="U5" i="1" s="1"/>
  <c r="R4" i="1"/>
  <c r="S4" i="1" s="1"/>
  <c r="T4" i="1" s="1"/>
  <c r="U4" i="1" s="1"/>
  <c r="R3" i="1"/>
  <c r="S3" i="1" s="1"/>
  <c r="T3" i="1" s="1"/>
  <c r="U3" i="1" s="1"/>
  <c r="R2" i="1"/>
  <c r="S2" i="1" s="1"/>
  <c r="T2" i="1" s="1"/>
  <c r="U2" i="1" s="1"/>
  <c r="H15" i="1" l="1"/>
  <c r="J14" i="1"/>
  <c r="K14" i="1" s="1"/>
  <c r="H14" i="1"/>
  <c r="E12" i="1"/>
  <c r="L12" i="1" s="1"/>
  <c r="E13" i="1"/>
  <c r="L13" i="1" s="1"/>
  <c r="E11" i="1"/>
  <c r="L11" i="1" s="1"/>
  <c r="I13" i="1"/>
  <c r="I11" i="1"/>
  <c r="I12" i="1"/>
  <c r="I10" i="1"/>
  <c r="H10" i="1" s="1"/>
  <c r="H12" i="1" l="1"/>
  <c r="H11" i="1"/>
  <c r="J13" i="1"/>
  <c r="K13" i="1" s="1"/>
  <c r="H13" i="1"/>
  <c r="J11" i="1"/>
  <c r="J10" i="1"/>
  <c r="K10" i="1" s="1"/>
  <c r="J12" i="1"/>
  <c r="C6" i="1"/>
  <c r="K11" i="1" l="1"/>
  <c r="K12" i="1"/>
</calcChain>
</file>

<file path=xl/comments1.xml><?xml version="1.0" encoding="utf-8"?>
<comments xmlns="http://schemas.openxmlformats.org/spreadsheetml/2006/main">
  <authors>
    <author>lenovo</author>
  </authors>
  <commentList>
    <comment ref="F9" authorId="0" shapeId="0">
      <text>
        <r>
          <rPr>
            <sz val="9"/>
            <color indexed="81"/>
            <rFont val="Tahoma"/>
            <family val="2"/>
          </rPr>
          <t>Tasa insoluta mensual con IVA.</t>
        </r>
      </text>
    </comment>
    <comment ref="G9" authorId="0" shapeId="0">
      <text>
        <r>
          <rPr>
            <sz val="9"/>
            <color indexed="81"/>
            <rFont val="Tahoma"/>
            <family val="2"/>
          </rPr>
          <t>Tasa insoluta mensual con IVA.</t>
        </r>
      </text>
    </comment>
  </commentList>
</comments>
</file>

<file path=xl/comments2.xml><?xml version="1.0" encoding="utf-8"?>
<comments xmlns="http://schemas.openxmlformats.org/spreadsheetml/2006/main">
  <authors>
    <author>lenovo</author>
  </authors>
  <commentList>
    <comment ref="F9" authorId="0" shapeId="0">
      <text>
        <r>
          <rPr>
            <sz val="9"/>
            <color indexed="81"/>
            <rFont val="Tahoma"/>
            <family val="2"/>
          </rPr>
          <t>Tasa insoluta mensual con IVA.</t>
        </r>
      </text>
    </comment>
    <comment ref="G9" authorId="0" shapeId="0">
      <text>
        <r>
          <rPr>
            <sz val="9"/>
            <color indexed="81"/>
            <rFont val="Tahoma"/>
            <family val="2"/>
          </rPr>
          <t>Tasa insoluta mensual con IVA.</t>
        </r>
      </text>
    </comment>
  </commentList>
</comments>
</file>

<file path=xl/comments3.xml><?xml version="1.0" encoding="utf-8"?>
<comments xmlns="http://schemas.openxmlformats.org/spreadsheetml/2006/main">
  <authors>
    <author>lenovo</author>
  </authors>
  <commentList>
    <comment ref="F9" authorId="0" shapeId="0">
      <text>
        <r>
          <rPr>
            <sz val="9"/>
            <color indexed="81"/>
            <rFont val="Tahoma"/>
            <family val="2"/>
          </rPr>
          <t>Tasa insoluta mensual con IVA.</t>
        </r>
      </text>
    </comment>
    <comment ref="G9" authorId="0" shapeId="0">
      <text>
        <r>
          <rPr>
            <sz val="9"/>
            <color indexed="81"/>
            <rFont val="Tahoma"/>
            <family val="2"/>
          </rPr>
          <t>Tasa insoluta mensual con IVA.</t>
        </r>
      </text>
    </comment>
  </commentList>
</comments>
</file>

<file path=xl/sharedStrings.xml><?xml version="1.0" encoding="utf-8"?>
<sst xmlns="http://schemas.openxmlformats.org/spreadsheetml/2006/main" count="99" uniqueCount="28">
  <si>
    <t xml:space="preserve">Dependencia: </t>
  </si>
  <si>
    <t>Frecuencia:</t>
  </si>
  <si>
    <t>Mensual</t>
  </si>
  <si>
    <t>Plazo</t>
  </si>
  <si>
    <t>Prestamo</t>
  </si>
  <si>
    <t>Pagare</t>
  </si>
  <si>
    <t>Capital</t>
  </si>
  <si>
    <t>*Calculo para fines informativos</t>
  </si>
  <si>
    <t>Calculo por:</t>
  </si>
  <si>
    <t>Tasa Global</t>
  </si>
  <si>
    <t>Interes</t>
  </si>
  <si>
    <t>IVA</t>
  </si>
  <si>
    <t>PLAZO Q</t>
  </si>
  <si>
    <t>CAPITAL</t>
  </si>
  <si>
    <t>PAGO QUINCENAL</t>
  </si>
  <si>
    <t>TASA MENSUAL</t>
  </si>
  <si>
    <t>TASA QUINCENAL</t>
  </si>
  <si>
    <t>TASA SIN IVA</t>
  </si>
  <si>
    <t>TASA ANUAL</t>
  </si>
  <si>
    <t>Des. Quincenal</t>
  </si>
  <si>
    <t>*Las tasas globales e insolutas estan en terminos mensuales e incluyen el IVA.</t>
  </si>
  <si>
    <t>Tasa S/IVA</t>
  </si>
  <si>
    <t>Tasa C/IVA</t>
  </si>
  <si>
    <t>Monto</t>
  </si>
  <si>
    <t>GOBIERNO CDMX/MAS NOMINA</t>
  </si>
  <si>
    <r>
      <t xml:space="preserve">Condiciones:
Se puede utilizar para hacer simulaciones de </t>
    </r>
    <r>
      <rPr>
        <b/>
        <sz val="8"/>
        <color rgb="FFFF0000"/>
        <rFont val="Calibri"/>
        <family val="2"/>
        <scheme val="minor"/>
      </rPr>
      <t>CRÉDITOS NUEVOS.</t>
    </r>
    <r>
      <rPr>
        <b/>
        <sz val="8"/>
        <color theme="1"/>
        <rFont val="Calibri"/>
        <family val="2"/>
        <scheme val="minor"/>
      </rPr>
      <t xml:space="preserve">
24 a 120 quincenas, montos desde 5,000 hasta 200,000.
Sujetos a crédito: Base, Confianza, Haberes, Policias Haberes, Lista de Raya y Estabilidad Laboral.</t>
    </r>
  </si>
  <si>
    <r>
      <t xml:space="preserve">Condiciones:
Se puede utilizar para hacer simulaciones para </t>
    </r>
    <r>
      <rPr>
        <b/>
        <sz val="8"/>
        <color rgb="FFFF0000"/>
        <rFont val="Calibri"/>
        <family val="2"/>
        <scheme val="minor"/>
      </rPr>
      <t>RENOVACIONES DE MN A MN.</t>
    </r>
    <r>
      <rPr>
        <b/>
        <sz val="8"/>
        <color theme="1"/>
        <rFont val="Calibri"/>
        <family val="2"/>
        <scheme val="minor"/>
      </rPr>
      <t xml:space="preserve">
24 a 120 quincenas, montos desde 5,000 hasta 200,000.
Sujetos a crédito: Base, Confianza, Haberes, Policias Haberes, Lista de Raya y Estabilidad Laboral.</t>
    </r>
  </si>
  <si>
    <r>
      <t xml:space="preserve">Condiciones:
Se podrá realizar la liquidación de </t>
    </r>
    <r>
      <rPr>
        <b/>
        <sz val="7.5"/>
        <color rgb="FFFF0000"/>
        <rFont val="Calibri"/>
        <family val="2"/>
        <scheme val="minor"/>
      </rPr>
      <t>créditos de CSP</t>
    </r>
    <r>
      <rPr>
        <b/>
        <sz val="7.5"/>
        <color theme="1"/>
        <rFont val="Calibri"/>
        <family val="2"/>
        <scheme val="minor"/>
      </rPr>
      <t xml:space="preserve"> a través de un crédito originado por </t>
    </r>
    <r>
      <rPr>
        <b/>
        <sz val="7.5"/>
        <color rgb="FFFF0000"/>
        <rFont val="Calibri"/>
        <family val="2"/>
        <scheme val="minor"/>
      </rPr>
      <t>MN</t>
    </r>
    <r>
      <rPr>
        <b/>
        <sz val="7.5"/>
        <color theme="1"/>
        <rFont val="Calibri"/>
        <family val="2"/>
        <scheme val="minor"/>
      </rPr>
      <t>.
24 a 120 quincenas, montos desde 5,000 hasta 200,000.
Sujetos a crédito: Base, Confianza, Haberes, Policias Haberes, Lista de Raya y Estabilidad Laboral.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</si>
</sst>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8" formatCode="&quot;$&quot;#,##0.00;[Red]\-&quot;$&quot;#,##0.00"/>
    <numFmt numFmtId="44" formatCode="_-&quot;$&quot;* #,##0.00_-;\-&quot;$&quot;* #,##0.00_-;_-&quot;$&quot;* &quot;-&quot;??_-;_-@_-"/>
    <numFmt numFmtId="164" formatCode="_(&quot;$&quot;* #,##0.00_);_(&quot;$&quot;* \(#,##0.00\);_(&quot;$&quot;* &quot;-&quot;??_);_(@_)"/>
    <numFmt numFmtId="165" formatCode="_-&quot;$&quot;* #,##0.0000_-;\-&quot;$&quot;* #,##0.0000_-;_-&quot;$&quot;* &quot;-&quot;??_-;_-@_-"/>
    <numFmt numFmtId="166" formatCode="[$-80A]General"/>
  </numFmts>
  <fonts count="11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9"/>
      <color indexed="81"/>
      <name val="Tahoma"/>
      <family val="2"/>
    </font>
    <font>
      <b/>
      <sz val="8"/>
      <color theme="1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7.5"/>
      <color theme="1"/>
      <name val="Calibri"/>
      <family val="2"/>
      <scheme val="minor"/>
    </font>
    <font>
      <b/>
      <sz val="7.5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rgb="FFC000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166" fontId="2" fillId="0" borderId="0"/>
    <xf numFmtId="9" fontId="3" fillId="0" borderId="0" applyFont="0" applyFill="0" applyBorder="0" applyAlignment="0" applyProtection="0"/>
  </cellStyleXfs>
  <cellXfs count="26">
    <xf numFmtId="0" fontId="0" fillId="0" borderId="0" xfId="0"/>
    <xf numFmtId="0" fontId="0" fillId="4" borderId="0" xfId="0" applyFill="1"/>
    <xf numFmtId="0" fontId="0" fillId="3" borderId="0" xfId="0" applyFill="1"/>
    <xf numFmtId="44" fontId="0" fillId="4" borderId="0" xfId="0" applyNumberFormat="1" applyFill="1"/>
    <xf numFmtId="0" fontId="0" fillId="2" borderId="0" xfId="0" applyFill="1" applyAlignment="1">
      <alignment horizontal="center"/>
    </xf>
    <xf numFmtId="44" fontId="0" fillId="2" borderId="0" xfId="0" applyNumberFormat="1" applyFill="1" applyAlignment="1">
      <alignment horizontal="center"/>
    </xf>
    <xf numFmtId="10" fontId="0" fillId="4" borderId="0" xfId="0" applyNumberFormat="1" applyFill="1"/>
    <xf numFmtId="10" fontId="0" fillId="2" borderId="0" xfId="0" applyNumberFormat="1" applyFill="1" applyAlignment="1">
      <alignment horizontal="center"/>
    </xf>
    <xf numFmtId="10" fontId="0" fillId="4" borderId="0" xfId="2" applyNumberFormat="1" applyFont="1" applyFill="1" applyProtection="1"/>
    <xf numFmtId="8" fontId="0" fillId="4" borderId="0" xfId="0" applyNumberFormat="1" applyFill="1"/>
    <xf numFmtId="0" fontId="4" fillId="4" borderId="0" xfId="0" applyFont="1" applyFill="1" applyAlignment="1" applyProtection="1">
      <alignment horizontal="center"/>
      <protection locked="0"/>
    </xf>
    <xf numFmtId="44" fontId="4" fillId="0" borderId="0" xfId="0" applyNumberFormat="1" applyFont="1" applyAlignment="1" applyProtection="1">
      <alignment horizontal="center"/>
      <protection locked="0"/>
    </xf>
    <xf numFmtId="44" fontId="0" fillId="0" borderId="0" xfId="0" applyNumberFormat="1"/>
    <xf numFmtId="0" fontId="0" fillId="5" borderId="0" xfId="0" applyFill="1"/>
    <xf numFmtId="0" fontId="1" fillId="5" borderId="0" xfId="0" applyFont="1" applyFill="1" applyAlignment="1">
      <alignment horizontal="center"/>
    </xf>
    <xf numFmtId="2" fontId="0" fillId="5" borderId="0" xfId="0" applyNumberFormat="1" applyFill="1"/>
    <xf numFmtId="10" fontId="0" fillId="5" borderId="0" xfId="0" applyNumberFormat="1" applyFill="1"/>
    <xf numFmtId="164" fontId="0" fillId="5" borderId="0" xfId="0" applyNumberFormat="1" applyFill="1"/>
    <xf numFmtId="165" fontId="0" fillId="5" borderId="0" xfId="0" applyNumberFormat="1" applyFill="1"/>
    <xf numFmtId="0" fontId="5" fillId="5" borderId="0" xfId="0" applyFont="1" applyFill="1"/>
    <xf numFmtId="0" fontId="1" fillId="6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0" fontId="4" fillId="4" borderId="0" xfId="0" applyFont="1" applyFill="1" applyAlignment="1">
      <alignment horizontal="center"/>
    </xf>
    <xf numFmtId="2" fontId="7" fillId="4" borderId="0" xfId="0" applyNumberFormat="1" applyFont="1" applyFill="1" applyAlignment="1">
      <alignment horizontal="center" vertical="center" wrapText="1"/>
    </xf>
    <xf numFmtId="2" fontId="9" fillId="4" borderId="0" xfId="0" applyNumberFormat="1" applyFont="1" applyFill="1" applyAlignment="1">
      <alignment horizontal="center" vertical="center" wrapText="1"/>
    </xf>
  </cellXfs>
  <cellStyles count="3">
    <cellStyle name="Excel Built-in Normal" xfId="1"/>
    <cellStyle name="Normal" xfId="0" builtinId="0"/>
    <cellStyle name="Porcentaje" xfId="2" builtinId="5"/>
  </cellStyles>
  <dxfs count="0"/>
  <tableStyles count="0" defaultTableStyle="TableStyleMedium2" defaultPivotStyle="PivotStyleLight16"/>
  <colors>
    <mruColors>
      <color rgb="FF008E4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775138</xdr:colOff>
      <xdr:row>33</xdr:row>
      <xdr:rowOff>94593</xdr:rowOff>
    </xdr:from>
    <xdr:to>
      <xdr:col>12</xdr:col>
      <xdr:colOff>0</xdr:colOff>
      <xdr:row>34</xdr:row>
      <xdr:rowOff>147144</xdr:rowOff>
    </xdr:to>
    <xdr:sp macro="" textlink="">
      <xdr:nvSpPr>
        <xdr:cNvPr id="50" name="Rectángulo 49">
          <a:extLst>
            <a:ext uri="{FF2B5EF4-FFF2-40B4-BE49-F238E27FC236}">
              <a16:creationId xmlns:a16="http://schemas.microsoft.com/office/drawing/2014/main" xmlns="" id="{00000000-0008-0000-0000-000032000000}"/>
            </a:ext>
          </a:extLst>
        </xdr:cNvPr>
        <xdr:cNvSpPr/>
      </xdr:nvSpPr>
      <xdr:spPr>
        <a:xfrm>
          <a:off x="9216259" y="6184024"/>
          <a:ext cx="1668517" cy="243051"/>
        </a:xfrm>
        <a:prstGeom prst="rect">
          <a:avLst/>
        </a:prstGeom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r>
            <a:rPr lang="es-MX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(Capital * Plazo</a:t>
          </a:r>
          <a:r>
            <a:rPr lang="es-MX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* 1.16)</a:t>
          </a:r>
        </a:p>
        <a:p>
          <a:endParaRPr lang="es-MX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775138</xdr:colOff>
      <xdr:row>32</xdr:row>
      <xdr:rowOff>94593</xdr:rowOff>
    </xdr:from>
    <xdr:to>
      <xdr:col>12</xdr:col>
      <xdr:colOff>0</xdr:colOff>
      <xdr:row>33</xdr:row>
      <xdr:rowOff>147144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xmlns="" id="{00000000-0008-0000-0000-000032000000}"/>
            </a:ext>
          </a:extLst>
        </xdr:cNvPr>
        <xdr:cNvSpPr/>
      </xdr:nvSpPr>
      <xdr:spPr>
        <a:xfrm>
          <a:off x="8909488" y="6381093"/>
          <a:ext cx="72587" cy="243051"/>
        </a:xfrm>
        <a:prstGeom prst="rect">
          <a:avLst/>
        </a:prstGeom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r>
            <a:rPr lang="es-MX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(Capital * Plazo</a:t>
          </a:r>
          <a:r>
            <a:rPr lang="es-MX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* 1.16)</a:t>
          </a:r>
        </a:p>
        <a:p>
          <a:endParaRPr lang="es-MX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775138</xdr:colOff>
      <xdr:row>30</xdr:row>
      <xdr:rowOff>94593</xdr:rowOff>
    </xdr:from>
    <xdr:to>
      <xdr:col>12</xdr:col>
      <xdr:colOff>0</xdr:colOff>
      <xdr:row>31</xdr:row>
      <xdr:rowOff>147144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xmlns="" id="{00000000-0008-0000-0000-000032000000}"/>
            </a:ext>
          </a:extLst>
        </xdr:cNvPr>
        <xdr:cNvSpPr/>
      </xdr:nvSpPr>
      <xdr:spPr>
        <a:xfrm>
          <a:off x="8909488" y="6190593"/>
          <a:ext cx="72587" cy="243051"/>
        </a:xfrm>
        <a:prstGeom prst="rect">
          <a:avLst/>
        </a:prstGeom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r>
            <a:rPr lang="es-MX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(Capital * Plazo</a:t>
          </a:r>
          <a:r>
            <a:rPr lang="es-MX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* 1.16)</a:t>
          </a:r>
        </a:p>
        <a:p>
          <a:endParaRPr lang="es-MX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W31"/>
  <sheetViews>
    <sheetView showGridLines="0" tabSelected="1" topLeftCell="B1" zoomScale="150" zoomScaleNormal="150" workbookViewId="0">
      <selection activeCell="E6" sqref="E6"/>
    </sheetView>
  </sheetViews>
  <sheetFormatPr baseColWidth="10" defaultColWidth="11.42578125" defaultRowHeight="15" x14ac:dyDescent="0.25"/>
  <cols>
    <col min="1" max="1" width="6.5703125" hidden="1" customWidth="1"/>
    <col min="2" max="2" width="4.42578125" customWidth="1"/>
    <col min="4" max="4" width="14.42578125" bestFit="1" customWidth="1"/>
    <col min="5" max="5" width="14.140625" bestFit="1" customWidth="1"/>
    <col min="6" max="6" width="13.5703125" bestFit="1" customWidth="1"/>
    <col min="7" max="7" width="10.28515625" bestFit="1" customWidth="1"/>
    <col min="8" max="8" width="14.42578125" bestFit="1" customWidth="1"/>
    <col min="9" max="12" width="14.85546875" customWidth="1"/>
    <col min="15" max="20" width="0" hidden="1" customWidth="1"/>
    <col min="21" max="21" width="13.140625" hidden="1" customWidth="1"/>
    <col min="43" max="43" width="8.5703125" bestFit="1" customWidth="1"/>
    <col min="44" max="44" width="12.5703125" style="12" bestFit="1" customWidth="1"/>
    <col min="45" max="45" width="17.140625" style="12" bestFit="1" customWidth="1"/>
    <col min="46" max="46" width="16.5703125" bestFit="1" customWidth="1"/>
    <col min="47" max="47" width="14.5703125" bestFit="1" customWidth="1"/>
    <col min="48" max="48" width="12.5703125" bestFit="1" customWidth="1"/>
    <col min="49" max="49" width="12.140625" bestFit="1" customWidth="1"/>
  </cols>
  <sheetData>
    <row r="1" spans="1:49" s="1" customFormat="1" x14ac:dyDescent="0.25">
      <c r="A1" s="2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" t="s">
        <v>12</v>
      </c>
      <c r="P1" s="1" t="s">
        <v>13</v>
      </c>
      <c r="Q1" s="1" t="s">
        <v>14</v>
      </c>
      <c r="R1" s="1" t="s">
        <v>16</v>
      </c>
      <c r="S1" s="1" t="s">
        <v>15</v>
      </c>
      <c r="T1" s="1" t="s">
        <v>17</v>
      </c>
      <c r="U1" s="1" t="s">
        <v>18</v>
      </c>
      <c r="AQ1" s="1" t="s">
        <v>12</v>
      </c>
      <c r="AR1" s="1" t="s">
        <v>13</v>
      </c>
      <c r="AS1" s="1" t="s">
        <v>14</v>
      </c>
      <c r="AT1" s="1" t="s">
        <v>16</v>
      </c>
      <c r="AU1" s="1" t="s">
        <v>15</v>
      </c>
      <c r="AV1" s="1" t="s">
        <v>17</v>
      </c>
      <c r="AW1" s="1" t="s">
        <v>18</v>
      </c>
    </row>
    <row r="2" spans="1:49" s="1" customFormat="1" x14ac:dyDescent="0.25">
      <c r="A2" s="2"/>
      <c r="B2" s="13"/>
      <c r="C2" s="22" t="s">
        <v>0</v>
      </c>
      <c r="D2" s="22"/>
      <c r="E2" s="23" t="s">
        <v>24</v>
      </c>
      <c r="F2" s="23"/>
      <c r="G2" s="23"/>
      <c r="H2" s="13"/>
      <c r="I2" s="13"/>
      <c r="J2" s="13"/>
      <c r="K2" s="13"/>
      <c r="L2" s="13"/>
      <c r="M2" s="13"/>
      <c r="N2" s="13"/>
      <c r="O2" s="1">
        <v>24</v>
      </c>
      <c r="P2" s="9">
        <v>497000</v>
      </c>
      <c r="Q2" s="9">
        <v>25850.25</v>
      </c>
      <c r="R2" s="6">
        <f>RATE(O2,-Q2,P2,0,0)</f>
        <v>1.8560002435494275E-2</v>
      </c>
      <c r="S2" s="8">
        <f>R2*2</f>
        <v>3.712000487098855E-2</v>
      </c>
      <c r="T2" s="8">
        <f>S2/1.16</f>
        <v>3.200000419912806E-2</v>
      </c>
      <c r="U2" s="8">
        <f>T2*12</f>
        <v>0.38400005038953672</v>
      </c>
      <c r="AQ2" s="1">
        <v>24</v>
      </c>
      <c r="AR2" s="3">
        <v>200000</v>
      </c>
      <c r="AS2" s="3">
        <v>11866.8</v>
      </c>
      <c r="AT2" s="6">
        <f t="shared" ref="AT2:AT7" si="0">RATE(AQ2,-AS2,AR2,0,0)</f>
        <v>3.0449974574859418E-2</v>
      </c>
      <c r="AU2" s="6">
        <f>AT2*2</f>
        <v>6.0899949149718836E-2</v>
      </c>
      <c r="AV2" s="6">
        <f>AU2/1.16</f>
        <v>5.2499956163550722E-2</v>
      </c>
      <c r="AW2" s="6">
        <f>AV2*12</f>
        <v>0.62999947396260869</v>
      </c>
    </row>
    <row r="3" spans="1:49" s="1" customFormat="1" x14ac:dyDescent="0.25">
      <c r="A3" s="2"/>
      <c r="B3" s="13"/>
      <c r="C3" s="22" t="s">
        <v>1</v>
      </c>
      <c r="D3" s="22"/>
      <c r="E3" s="14" t="s">
        <v>2</v>
      </c>
      <c r="F3" s="13"/>
      <c r="G3" s="13"/>
      <c r="H3" s="13"/>
      <c r="I3" s="13"/>
      <c r="J3" s="13"/>
      <c r="K3" s="13"/>
      <c r="L3" s="13"/>
      <c r="M3" s="13"/>
      <c r="N3" s="13"/>
      <c r="O3" s="1">
        <v>48</v>
      </c>
      <c r="P3" s="9">
        <v>497000</v>
      </c>
      <c r="Q3" s="9">
        <v>15732</v>
      </c>
      <c r="R3" s="6">
        <f t="shared" ref="R3:R5" si="1">RATE(O3,-Q3,P3,0,0)</f>
        <v>1.8559989355188038E-2</v>
      </c>
      <c r="S3" s="8">
        <f t="shared" ref="S3:S5" si="2">R3*2</f>
        <v>3.7119978710376075E-2</v>
      </c>
      <c r="T3" s="8">
        <f t="shared" ref="T3:T5" si="3">S3/1.16</f>
        <v>3.1999981646875932E-2</v>
      </c>
      <c r="U3" s="8">
        <f t="shared" ref="U3:U5" si="4">T3*12</f>
        <v>0.38399977976251121</v>
      </c>
      <c r="AQ3" s="1">
        <v>36</v>
      </c>
      <c r="AR3" s="3">
        <v>200000</v>
      </c>
      <c r="AS3" s="3">
        <v>9150.92</v>
      </c>
      <c r="AT3" s="6">
        <f t="shared" si="0"/>
        <v>2.9928000833524215E-2</v>
      </c>
      <c r="AU3" s="6">
        <f t="shared" ref="AU3:AU7" si="5">AT3*2</f>
        <v>5.9856001667048429E-2</v>
      </c>
      <c r="AV3" s="6">
        <f t="shared" ref="AV3:AV7" si="6">AU3/1.16</f>
        <v>5.1600001437110715E-2</v>
      </c>
      <c r="AW3" s="6">
        <f t="shared" ref="AW3:AW7" si="7">AV3*12</f>
        <v>0.61920001724532858</v>
      </c>
    </row>
    <row r="4" spans="1:49" s="1" customFormat="1" ht="15" customHeight="1" x14ac:dyDescent="0.25">
      <c r="A4" s="2"/>
      <c r="B4" s="13"/>
      <c r="C4" s="22" t="s">
        <v>8</v>
      </c>
      <c r="D4" s="22"/>
      <c r="E4" s="10" t="s">
        <v>23</v>
      </c>
      <c r="F4" s="13"/>
      <c r="G4" s="24" t="s">
        <v>25</v>
      </c>
      <c r="H4" s="24"/>
      <c r="I4" s="24"/>
      <c r="J4" s="24"/>
      <c r="K4" s="13"/>
      <c r="L4" s="13"/>
      <c r="M4" s="13"/>
      <c r="N4" s="13"/>
      <c r="O4" s="1">
        <v>72</v>
      </c>
      <c r="P4" s="9">
        <v>497000</v>
      </c>
      <c r="Q4" s="9">
        <v>12568.05</v>
      </c>
      <c r="R4" s="6">
        <f t="shared" si="1"/>
        <v>1.855999177746296E-2</v>
      </c>
      <c r="S4" s="8">
        <f t="shared" si="2"/>
        <v>3.711998355492592E-2</v>
      </c>
      <c r="T4" s="8">
        <f t="shared" si="3"/>
        <v>3.1999985823212E-2</v>
      </c>
      <c r="U4" s="8">
        <f t="shared" si="4"/>
        <v>0.38399982987854397</v>
      </c>
      <c r="AQ4" s="1">
        <v>48</v>
      </c>
      <c r="AR4" s="3">
        <v>200000</v>
      </c>
      <c r="AS4" s="3">
        <v>7761.7</v>
      </c>
      <c r="AT4" s="6">
        <f t="shared" si="0"/>
        <v>2.8941967078734442E-2</v>
      </c>
      <c r="AU4" s="6">
        <f t="shared" si="5"/>
        <v>5.7883934157468883E-2</v>
      </c>
      <c r="AV4" s="6">
        <f t="shared" si="6"/>
        <v>4.9899943239197317E-2</v>
      </c>
      <c r="AW4" s="6">
        <f t="shared" si="7"/>
        <v>0.59879931887036775</v>
      </c>
    </row>
    <row r="5" spans="1:49" s="1" customFormat="1" x14ac:dyDescent="0.25">
      <c r="A5" s="2"/>
      <c r="B5" s="13"/>
      <c r="C5" s="13"/>
      <c r="D5" s="13"/>
      <c r="E5" s="13"/>
      <c r="F5" s="13"/>
      <c r="G5" s="24"/>
      <c r="H5" s="24"/>
      <c r="I5" s="24"/>
      <c r="J5" s="24"/>
      <c r="K5" s="13"/>
      <c r="L5" s="13"/>
      <c r="M5" s="13"/>
      <c r="N5" s="13"/>
      <c r="O5" s="1">
        <v>96</v>
      </c>
      <c r="P5" s="9">
        <v>497000</v>
      </c>
      <c r="Q5" s="9">
        <v>11128.57</v>
      </c>
      <c r="R5" s="6">
        <f t="shared" si="1"/>
        <v>1.8559997634293605E-2</v>
      </c>
      <c r="S5" s="8">
        <f t="shared" si="2"/>
        <v>3.7119995268587211E-2</v>
      </c>
      <c r="T5" s="8">
        <f t="shared" si="3"/>
        <v>3.1999995921195873E-2</v>
      </c>
      <c r="U5" s="8">
        <f t="shared" si="4"/>
        <v>0.38399995105435047</v>
      </c>
      <c r="AQ5" s="1">
        <v>72</v>
      </c>
      <c r="AR5" s="3">
        <v>200000</v>
      </c>
      <c r="AS5" s="3">
        <v>6370.76</v>
      </c>
      <c r="AT5" s="6">
        <f t="shared" si="0"/>
        <v>2.725996919549014E-2</v>
      </c>
      <c r="AU5" s="6">
        <f t="shared" si="5"/>
        <v>5.451993839098028E-2</v>
      </c>
      <c r="AV5" s="6">
        <f t="shared" si="6"/>
        <v>4.6999946888776109E-2</v>
      </c>
      <c r="AW5" s="6">
        <f t="shared" si="7"/>
        <v>0.56399936266531325</v>
      </c>
    </row>
    <row r="6" spans="1:49" s="1" customFormat="1" x14ac:dyDescent="0.25">
      <c r="A6" s="2"/>
      <c r="B6" s="13"/>
      <c r="C6" s="22" t="str">
        <f>IF(E4="MONTO","Ingrese el Monto:","Ingrese la capacidad:")</f>
        <v>Ingrese el Monto:</v>
      </c>
      <c r="D6" s="22"/>
      <c r="E6" s="11">
        <v>200000</v>
      </c>
      <c r="F6" s="13"/>
      <c r="G6" s="24"/>
      <c r="H6" s="24"/>
      <c r="I6" s="24"/>
      <c r="J6" s="24"/>
      <c r="K6" s="18"/>
      <c r="L6" s="13"/>
      <c r="M6" s="13"/>
      <c r="N6" s="13"/>
      <c r="AQ6" s="1">
        <v>96</v>
      </c>
      <c r="AR6" s="3">
        <v>200000</v>
      </c>
      <c r="AS6" s="3">
        <v>5680.88</v>
      </c>
      <c r="AT6" s="6">
        <f t="shared" si="0"/>
        <v>2.5983985459853306E-2</v>
      </c>
      <c r="AU6" s="6">
        <f t="shared" si="5"/>
        <v>5.1967970919706612E-2</v>
      </c>
      <c r="AV6" s="6">
        <f t="shared" si="6"/>
        <v>4.4799974930781562E-2</v>
      </c>
      <c r="AW6" s="6">
        <f t="shared" si="7"/>
        <v>0.53759969916937878</v>
      </c>
    </row>
    <row r="7" spans="1:49" s="1" customFormat="1" x14ac:dyDescent="0.25">
      <c r="A7" s="2"/>
      <c r="B7" s="13"/>
      <c r="C7" s="13"/>
      <c r="D7" s="13"/>
      <c r="E7" s="13"/>
      <c r="F7" s="15"/>
      <c r="G7" s="24"/>
      <c r="H7" s="24"/>
      <c r="I7" s="24"/>
      <c r="J7" s="24"/>
      <c r="K7" s="13"/>
      <c r="L7" s="13"/>
      <c r="M7" s="13"/>
      <c r="N7" s="13"/>
      <c r="AQ7" s="1">
        <v>120</v>
      </c>
      <c r="AR7" s="3">
        <v>200000</v>
      </c>
      <c r="AS7" s="3">
        <v>5261.73</v>
      </c>
      <c r="AT7" s="6">
        <f t="shared" si="0"/>
        <v>2.4940026052454267E-2</v>
      </c>
      <c r="AU7" s="6">
        <f t="shared" si="5"/>
        <v>4.9880052104908534E-2</v>
      </c>
      <c r="AV7" s="6">
        <f t="shared" si="6"/>
        <v>4.3000044918024602E-2</v>
      </c>
      <c r="AW7" s="6">
        <f t="shared" si="7"/>
        <v>0.51600053901629517</v>
      </c>
    </row>
    <row r="8" spans="1:49" s="1" customFormat="1" x14ac:dyDescent="0.25">
      <c r="A8" s="2"/>
      <c r="B8" s="13"/>
      <c r="C8" s="13"/>
      <c r="D8" s="13"/>
      <c r="E8" s="13"/>
      <c r="F8" s="15"/>
      <c r="G8" s="15"/>
      <c r="H8" s="16"/>
      <c r="I8" s="17"/>
      <c r="J8" s="13"/>
      <c r="K8" s="13"/>
      <c r="L8" s="13"/>
      <c r="M8" s="13"/>
      <c r="N8" s="13"/>
      <c r="AR8" s="3"/>
      <c r="AS8" s="3"/>
      <c r="AT8" s="6"/>
      <c r="AU8" s="6"/>
      <c r="AV8" s="6"/>
      <c r="AW8" s="6"/>
    </row>
    <row r="9" spans="1:49" s="1" customFormat="1" x14ac:dyDescent="0.25">
      <c r="A9" s="2"/>
      <c r="B9" s="13"/>
      <c r="C9" s="20" t="s">
        <v>3</v>
      </c>
      <c r="D9" s="20" t="s">
        <v>4</v>
      </c>
      <c r="E9" s="20" t="s">
        <v>19</v>
      </c>
      <c r="F9" s="20" t="s">
        <v>22</v>
      </c>
      <c r="G9" s="20" t="s">
        <v>21</v>
      </c>
      <c r="H9" s="20" t="s">
        <v>9</v>
      </c>
      <c r="I9" s="20" t="s">
        <v>6</v>
      </c>
      <c r="J9" s="20" t="s">
        <v>10</v>
      </c>
      <c r="K9" s="20" t="s">
        <v>11</v>
      </c>
      <c r="L9" s="20" t="s">
        <v>5</v>
      </c>
      <c r="M9" s="13"/>
      <c r="N9" s="13"/>
      <c r="AR9" s="3"/>
      <c r="AS9" s="3"/>
      <c r="AT9" s="6"/>
      <c r="AU9" s="6"/>
      <c r="AV9" s="6"/>
      <c r="AW9" s="6"/>
    </row>
    <row r="10" spans="1:49" s="1" customFormat="1" x14ac:dyDescent="0.25">
      <c r="A10" s="2">
        <v>24</v>
      </c>
      <c r="B10" s="13"/>
      <c r="C10" s="4" t="str">
        <f>CONCATENATE(A10," Q")</f>
        <v>24 Q</v>
      </c>
      <c r="D10" s="5">
        <f>IF(IF($E$4="MONTO",IF((IF(MOD($E$6,500)=0,$E$6,$E$6-MOD($E$6,500)))&gt;200000,200000,IF(MOD($E$6,500)=0,$E$6,$E$6-MOD($E$6,500))),IF(((1-(1+(F10/2))^(-A10))/((F10/2)))*$E$6&gt;200000,200000,IF(MOD(((1-(1+(F10/2))^(-A10))/(F10))*$E$6,500)=0,((1-(1+(F10/2))^(-A10))/((F10/2)))*$E$6,((1-(1+(F10/2))^(-A10))/((F10/2)))*$E$6-MOD(((1-(1+(F10/2))^(-A10))/((F10/2)))*$E$6,500))))&lt;5000,
0,
IF($E$4="MONTO",IF((IF(MOD($E$6,500)=0,$E$6,$E$6-MOD($E$6,500)))&gt;200000,200000,IF(MOD($E$6,500)=0,$E$6,$E$6-MOD($E$6,500))),IF(((1-(1+(F10/2))^(-A10))/((F10/2)))*$E$6&gt;200000,200000,IF(MOD(((1-(1+(F10/2))^(-A10))/(F10))*$E$6,500)=0,((1-(1+(F10/2))^(-A10))/((F10/2)))*$E$6,((1-(1+(F10/2))^(-A10))/((F10/2)))*$E$6-MOD(((1-(1+(F10/2))^(-A10))/((F10/2)))*$E$6,500)))))</f>
        <v>200000</v>
      </c>
      <c r="E10" s="5">
        <f>ROUND(-PMT(F10/2,A10,D10,,0),2)</f>
        <v>11866.8</v>
      </c>
      <c r="F10" s="7">
        <f t="shared" ref="F10:F15" si="8">VLOOKUP(A10,$AQ$1:$AU$17,5,0)</f>
        <v>6.0899949149718836E-2</v>
      </c>
      <c r="G10" s="7">
        <f>F10/1.16</f>
        <v>5.2499956163550722E-2</v>
      </c>
      <c r="H10" s="7">
        <f t="shared" ref="H10:H13" si="9">IFERROR(((L10-I10)/I10)/(A10/2),0)</f>
        <v>3.5334666666666646E-2</v>
      </c>
      <c r="I10" s="5">
        <f t="shared" ref="I10:I13" si="10">D10</f>
        <v>200000</v>
      </c>
      <c r="J10" s="5">
        <f t="shared" ref="J10:J13" si="11">(L10-I10)/1.16</f>
        <v>73106.206896551696</v>
      </c>
      <c r="K10" s="5">
        <f t="shared" ref="K10:K13" si="12">J10*16%</f>
        <v>11696.993103448271</v>
      </c>
      <c r="L10" s="5">
        <f>E10*A10</f>
        <v>284803.19999999995</v>
      </c>
      <c r="M10" s="13"/>
      <c r="N10" s="13"/>
      <c r="AR10" s="3"/>
      <c r="AS10" s="3"/>
      <c r="AT10" s="6"/>
      <c r="AU10" s="6"/>
      <c r="AV10" s="6"/>
      <c r="AW10" s="6"/>
    </row>
    <row r="11" spans="1:49" s="1" customFormat="1" x14ac:dyDescent="0.25">
      <c r="A11" s="2">
        <v>36</v>
      </c>
      <c r="B11" s="13"/>
      <c r="C11" s="4" t="str">
        <f t="shared" ref="C11:C13" si="13">CONCATENATE(A11," Q")</f>
        <v>36 Q</v>
      </c>
      <c r="D11" s="5">
        <f t="shared" ref="D11:D13" si="14">IF(IF($E$4="MONTO",IF((IF(MOD($E$6,500)=0,$E$6,$E$6-MOD($E$6,500)))&gt;200000,200000,IF(MOD($E$6,500)=0,$E$6,$E$6-MOD($E$6,500))),IF(((1-(1+(F11/2))^(-A11))/((F11/2)))*$E$6&gt;200000,200000,IF(MOD(((1-(1+(F11/2))^(-A11))/(F11))*$E$6,500)=0,((1-(1+(F11/2))^(-A11))/((F11/2)))*$E$6,((1-(1+(F11/2))^(-A11))/((F11/2)))*$E$6-MOD(((1-(1+(F11/2))^(-A11))/((F11/2)))*$E$6,500))))&lt;5000,
0,
IF($E$4="MONTO",IF((IF(MOD($E$6,500)=0,$E$6,$E$6-MOD($E$6,500)))&gt;200000,200000,IF(MOD($E$6,500)=0,$E$6,$E$6-MOD($E$6,500))),IF(((1-(1+(F11/2))^(-A11))/((F11/2)))*$E$6&gt;200000,200000,IF(MOD(((1-(1+(F11/2))^(-A11))/(F11))*$E$6,500)=0,((1-(1+(F11/2))^(-A11))/((F11/2)))*$E$6,((1-(1+(F11/2))^(-A11))/((F11/2)))*$E$6-MOD(((1-(1+(F11/2))^(-A11))/((F11/2)))*$E$6,500)))))</f>
        <v>200000</v>
      </c>
      <c r="E11" s="5">
        <f t="shared" ref="E11:E13" si="15">ROUND(-PMT(F11/2,A11,D11,,0),2)</f>
        <v>9150.92</v>
      </c>
      <c r="F11" s="7">
        <f t="shared" si="8"/>
        <v>5.9856001667048429E-2</v>
      </c>
      <c r="G11" s="7">
        <f t="shared" ref="G11:G13" si="16">F11/1.16</f>
        <v>5.1600001437110715E-2</v>
      </c>
      <c r="H11" s="7">
        <f t="shared" si="9"/>
        <v>3.5953644444444446E-2</v>
      </c>
      <c r="I11" s="5">
        <f t="shared" si="10"/>
        <v>200000</v>
      </c>
      <c r="J11" s="5">
        <f t="shared" si="11"/>
        <v>111580.27586206897</v>
      </c>
      <c r="K11" s="5">
        <f t="shared" si="12"/>
        <v>17852.844137931035</v>
      </c>
      <c r="L11" s="5">
        <f t="shared" ref="L11:L13" si="17">E11*A11</f>
        <v>329433.12</v>
      </c>
      <c r="M11" s="13"/>
      <c r="N11" s="13"/>
    </row>
    <row r="12" spans="1:49" s="1" customFormat="1" x14ac:dyDescent="0.25">
      <c r="A12" s="2">
        <v>48</v>
      </c>
      <c r="B12" s="13"/>
      <c r="C12" s="4" t="str">
        <f t="shared" si="13"/>
        <v>48 Q</v>
      </c>
      <c r="D12" s="5">
        <f t="shared" si="14"/>
        <v>200000</v>
      </c>
      <c r="E12" s="5">
        <f t="shared" si="15"/>
        <v>7761.7</v>
      </c>
      <c r="F12" s="7">
        <f t="shared" si="8"/>
        <v>5.7883934157468883E-2</v>
      </c>
      <c r="G12" s="7">
        <f t="shared" si="16"/>
        <v>4.9899943239197317E-2</v>
      </c>
      <c r="H12" s="7">
        <f t="shared" si="9"/>
        <v>3.5950333333333327E-2</v>
      </c>
      <c r="I12" s="5">
        <f t="shared" si="10"/>
        <v>200000</v>
      </c>
      <c r="J12" s="5">
        <f t="shared" si="11"/>
        <v>148760</v>
      </c>
      <c r="K12" s="5">
        <f t="shared" si="12"/>
        <v>23801.600000000002</v>
      </c>
      <c r="L12" s="5">
        <f t="shared" si="17"/>
        <v>372561.6</v>
      </c>
      <c r="M12" s="13"/>
      <c r="N12" s="13"/>
      <c r="AR12" s="3"/>
      <c r="AS12" s="3"/>
    </row>
    <row r="13" spans="1:49" s="1" customFormat="1" x14ac:dyDescent="0.25">
      <c r="A13" s="2">
        <v>72</v>
      </c>
      <c r="B13" s="13"/>
      <c r="C13" s="4" t="str">
        <f t="shared" si="13"/>
        <v>72 Q</v>
      </c>
      <c r="D13" s="5">
        <f t="shared" si="14"/>
        <v>200000</v>
      </c>
      <c r="E13" s="5">
        <f t="shared" si="15"/>
        <v>6370.76</v>
      </c>
      <c r="F13" s="7">
        <f t="shared" si="8"/>
        <v>5.451993839098028E-2</v>
      </c>
      <c r="G13" s="7">
        <f t="shared" si="16"/>
        <v>4.6999946888776109E-2</v>
      </c>
      <c r="H13" s="7">
        <f t="shared" si="9"/>
        <v>3.5929822222222227E-2</v>
      </c>
      <c r="I13" s="5">
        <f t="shared" si="10"/>
        <v>200000</v>
      </c>
      <c r="J13" s="5">
        <f t="shared" si="11"/>
        <v>223012.68965517246</v>
      </c>
      <c r="K13" s="5">
        <f t="shared" si="12"/>
        <v>35682.030344827595</v>
      </c>
      <c r="L13" s="5">
        <f t="shared" si="17"/>
        <v>458694.72000000003</v>
      </c>
      <c r="M13" s="13"/>
      <c r="N13" s="13"/>
      <c r="AR13" s="3"/>
      <c r="AS13" s="3"/>
    </row>
    <row r="14" spans="1:49" s="1" customFormat="1" x14ac:dyDescent="0.25">
      <c r="A14" s="2">
        <v>96</v>
      </c>
      <c r="B14" s="13"/>
      <c r="C14" s="4" t="str">
        <f>CONCATENATE(A14," Q")</f>
        <v>96 Q</v>
      </c>
      <c r="D14" s="5">
        <f t="shared" ref="D14" si="18">IF(IF($E$4="MONTO",IF((IF(MOD($E$6,500)=0,$E$6,$E$6-MOD($E$6,500)))&gt;200000,200000,IF(MOD($E$6,500)=0,$E$6,$E$6-MOD($E$6,500))),IF(((1-(1+(F14/2))^(-A14))/((F14/2)))*$E$6&gt;200000,200000,IF(MOD(((1-(1+(F14/2))^(-A14))/(F14))*$E$6,500)=0,((1-(1+(F14/2))^(-A14))/((F14/2)))*$E$6,((1-(1+(F14/2))^(-A14))/((F14/2)))*$E$6-MOD(((1-(1+(F14/2))^(-A14))/((F14/2)))*$E$6,500))))&lt;5000,
0,
IF($E$4="MONTO",IF((IF(MOD($E$6,500)=0,$E$6,$E$6-MOD($E$6,500)))&gt;200000,200000,IF(MOD($E$6,500)=0,$E$6,$E$6-MOD($E$6,500))),IF(((1-(1+(F14/2))^(-A14))/((F14/2)))*$E$6&gt;200000,200000,IF(MOD(((1-(1+(F14/2))^(-A14))/(F14))*$E$6,500)=0,((1-(1+(F14/2))^(-A14))/((F14/2)))*$E$6,((1-(1+(F14/2))^(-A14))/((F14/2)))*$E$6-MOD(((1-(1+(F14/2))^(-A14))/((F14/2)))*$E$6,500)))))</f>
        <v>200000</v>
      </c>
      <c r="E14" s="5">
        <f t="shared" ref="E14" si="19">ROUND(-PMT(F14/2,A14,D14,,0),2)</f>
        <v>5680.88</v>
      </c>
      <c r="F14" s="7">
        <f t="shared" si="8"/>
        <v>5.1967970919706612E-2</v>
      </c>
      <c r="G14" s="7">
        <f t="shared" ref="G14" si="20">F14/1.16</f>
        <v>4.4799974930781562E-2</v>
      </c>
      <c r="H14" s="7">
        <f t="shared" ref="H14" si="21">IFERROR(((L14-I14)/I14)/(A14/2),0)</f>
        <v>3.5975466666666664E-2</v>
      </c>
      <c r="I14" s="5">
        <f t="shared" ref="I14" si="22">D14</f>
        <v>200000</v>
      </c>
      <c r="J14" s="5">
        <f t="shared" ref="J14" si="23">(L14-I14)/1.16</f>
        <v>297728</v>
      </c>
      <c r="K14" s="5">
        <f t="shared" ref="K14" si="24">J14*16%</f>
        <v>47636.480000000003</v>
      </c>
      <c r="L14" s="5">
        <f t="shared" ref="L14" si="25">E14*A14</f>
        <v>545364.47999999998</v>
      </c>
      <c r="M14" s="13"/>
      <c r="N14" s="13"/>
      <c r="AR14" s="3"/>
      <c r="AS14" s="3"/>
    </row>
    <row r="15" spans="1:49" s="1" customFormat="1" x14ac:dyDescent="0.25">
      <c r="A15" s="2">
        <v>120</v>
      </c>
      <c r="B15" s="13"/>
      <c r="C15" s="4" t="str">
        <f t="shared" ref="C15" si="26">CONCATENATE(A15," Q")</f>
        <v>120 Q</v>
      </c>
      <c r="D15" s="5">
        <f t="shared" ref="D15" si="27">IF(IF($E$4="MONTO",IF((IF(MOD($E$6,500)=0,$E$6,$E$6-MOD($E$6,500)))&gt;200000,200000,IF(MOD($E$6,500)=0,$E$6,$E$6-MOD($E$6,500))),IF(((1-(1+(F15/2))^(-A15))/((F15/2)))*$E$6&gt;200000,200000,IF(MOD(((1-(1+(F15/2))^(-A15))/(F15))*$E$6,500)=0,((1-(1+(F15/2))^(-A15))/((F15/2)))*$E$6,((1-(1+(F15/2))^(-A15))/((F15/2)))*$E$6-MOD(((1-(1+(F15/2))^(-A15))/((F15/2)))*$E$6,500))))&lt;5000,
0,
IF($E$4="MONTO",IF((IF(MOD($E$6,500)=0,$E$6,$E$6-MOD($E$6,500)))&gt;200000,200000,IF(MOD($E$6,500)=0,$E$6,$E$6-MOD($E$6,500))),IF(((1-(1+(F15/2))^(-A15))/((F15/2)))*$E$6&gt;200000,200000,IF(MOD(((1-(1+(F15/2))^(-A15))/(F15))*$E$6,500)=0,((1-(1+(F15/2))^(-A15))/((F15/2)))*$E$6,((1-(1+(F15/2))^(-A15))/((F15/2)))*$E$6-MOD(((1-(1+(F15/2))^(-A15))/((F15/2)))*$E$6,500)))))</f>
        <v>200000</v>
      </c>
      <c r="E15" s="5">
        <f t="shared" ref="E15" si="28">ROUND(-PMT(F15/2,A15,D15,,0),2)</f>
        <v>5261.73</v>
      </c>
      <c r="F15" s="7">
        <f t="shared" si="8"/>
        <v>4.9880052104908534E-2</v>
      </c>
      <c r="G15" s="7">
        <f t="shared" ref="G15" si="29">F15/1.16</f>
        <v>4.3000044918024602E-2</v>
      </c>
      <c r="H15" s="7">
        <f t="shared" ref="H15" si="30">IFERROR(((L15-I15)/I15)/(A15/2),0)</f>
        <v>3.5950633333333336E-2</v>
      </c>
      <c r="I15" s="5">
        <f t="shared" ref="I15" si="31">D15</f>
        <v>200000</v>
      </c>
      <c r="J15" s="5">
        <f t="shared" ref="J15" si="32">(L15-I15)/1.16</f>
        <v>371903.10344827588</v>
      </c>
      <c r="K15" s="5">
        <f t="shared" ref="K15" si="33">J15*16%</f>
        <v>59504.496551724144</v>
      </c>
      <c r="L15" s="5">
        <f t="shared" ref="L15" si="34">E15*A15</f>
        <v>631407.6</v>
      </c>
      <c r="M15" s="13"/>
      <c r="N15" s="13"/>
      <c r="AR15" s="3"/>
      <c r="AS15" s="3"/>
    </row>
    <row r="16" spans="1:49" s="1" customFormat="1" x14ac:dyDescent="0.25">
      <c r="A16" s="2"/>
      <c r="B16" s="13"/>
      <c r="C16" s="19" t="s">
        <v>7</v>
      </c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AR16" s="3"/>
      <c r="AS16" s="3"/>
    </row>
    <row r="17" spans="1:45" s="1" customFormat="1" x14ac:dyDescent="0.25">
      <c r="A17" s="2"/>
      <c r="B17" s="13"/>
      <c r="C17" s="19" t="s">
        <v>20</v>
      </c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AR17" s="3"/>
      <c r="AS17" s="3"/>
    </row>
    <row r="18" spans="1:45" s="1" customFormat="1" x14ac:dyDescent="0.25">
      <c r="A18" s="2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AR18" s="3"/>
      <c r="AS18" s="3"/>
    </row>
    <row r="19" spans="1:45" s="1" customFormat="1" x14ac:dyDescent="0.25">
      <c r="A19" s="2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AR19" s="3"/>
      <c r="AS19" s="3"/>
    </row>
    <row r="20" spans="1:45" s="1" customFormat="1" x14ac:dyDescent="0.25">
      <c r="A20" s="2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AR20" s="3"/>
      <c r="AS20" s="3"/>
    </row>
    <row r="21" spans="1:45" s="1" customFormat="1" x14ac:dyDescent="0.25">
      <c r="A21" s="2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AR21" s="3"/>
      <c r="AS21" s="3"/>
    </row>
    <row r="22" spans="1:45" s="1" customFormat="1" x14ac:dyDescent="0.25">
      <c r="A22" s="2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AR22" s="3"/>
      <c r="AS22" s="3"/>
    </row>
    <row r="23" spans="1:45" s="1" customFormat="1" x14ac:dyDescent="0.25">
      <c r="A23" s="2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AR23" s="3"/>
      <c r="AS23" s="3"/>
    </row>
    <row r="24" spans="1:45" s="1" customFormat="1" x14ac:dyDescent="0.25">
      <c r="A24" s="2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AR24" s="3"/>
      <c r="AS24" s="3"/>
    </row>
    <row r="25" spans="1:45" s="1" customFormat="1" x14ac:dyDescent="0.25">
      <c r="A25" s="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AR25" s="3"/>
      <c r="AS25" s="3"/>
    </row>
    <row r="26" spans="1:45" x14ac:dyDescent="0.25">
      <c r="A26" s="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</row>
    <row r="27" spans="1:45" x14ac:dyDescent="0.25">
      <c r="A27" s="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</row>
    <row r="28" spans="1:45" x14ac:dyDescent="0.25">
      <c r="A28" s="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</row>
    <row r="29" spans="1:45" x14ac:dyDescent="0.25">
      <c r="A29" s="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</row>
    <row r="30" spans="1:45" x14ac:dyDescent="0.25">
      <c r="A30" s="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</row>
    <row r="31" spans="1:45" x14ac:dyDescent="0.25">
      <c r="A31" s="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</row>
  </sheetData>
  <sheetProtection algorithmName="SHA-512" hashValue="Wfndr2rc2qftqmg7fPvJ1s9T2nDKZbJywSgiEKZGRZSgcIJMunsp7coln/IMcPLoGsiNuK1NpaovBlKgJxPfuw==" saltValue="wE3OwLpiLRKjMDFDi5GJZw==" spinCount="100000" sheet="1" objects="1" scenarios="1" selectLockedCells="1"/>
  <mergeCells count="6">
    <mergeCell ref="C2:D2"/>
    <mergeCell ref="C3:D3"/>
    <mergeCell ref="C4:D4"/>
    <mergeCell ref="C6:D6"/>
    <mergeCell ref="E2:G2"/>
    <mergeCell ref="G4:J7"/>
  </mergeCells>
  <dataValidations count="2">
    <dataValidation type="list" allowBlank="1" showInputMessage="1" showErrorMessage="1" sqref="E4">
      <formula1>"Monto, Capacidad"</formula1>
    </dataValidation>
    <dataValidation type="custom" allowBlank="1" showInputMessage="1" showErrorMessage="1" sqref="E6">
      <formula1>E6&gt;=0</formula1>
    </dataValidation>
  </dataValidations>
  <pageMargins left="0.7" right="0.7" top="0.75" bottom="0.75" header="0.3" footer="0.3"/>
  <pageSetup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W30"/>
  <sheetViews>
    <sheetView showGridLines="0" topLeftCell="B1" zoomScale="180" zoomScaleNormal="180" workbookViewId="0">
      <selection activeCell="E6" sqref="E6"/>
    </sheetView>
  </sheetViews>
  <sheetFormatPr baseColWidth="10" defaultColWidth="11.42578125" defaultRowHeight="15" x14ac:dyDescent="0.25"/>
  <cols>
    <col min="1" max="1" width="6.5703125" hidden="1" customWidth="1"/>
    <col min="2" max="2" width="4.42578125" customWidth="1"/>
    <col min="4" max="4" width="14.42578125" bestFit="1" customWidth="1"/>
    <col min="5" max="5" width="13.140625" bestFit="1" customWidth="1"/>
    <col min="6" max="6" width="13.5703125" bestFit="1" customWidth="1"/>
    <col min="7" max="7" width="10.28515625" bestFit="1" customWidth="1"/>
    <col min="8" max="8" width="14.42578125" bestFit="1" customWidth="1"/>
    <col min="9" max="9" width="13.28515625" bestFit="1" customWidth="1"/>
    <col min="10" max="10" width="12.7109375" customWidth="1"/>
    <col min="11" max="11" width="14.28515625" bestFit="1" customWidth="1"/>
    <col min="12" max="12" width="12.7109375" bestFit="1" customWidth="1"/>
    <col min="15" max="20" width="0" hidden="1" customWidth="1"/>
    <col min="21" max="21" width="13.140625" hidden="1" customWidth="1"/>
    <col min="43" max="43" width="8.5703125" bestFit="1" customWidth="1"/>
    <col min="44" max="44" width="12.5703125" style="12" bestFit="1" customWidth="1"/>
    <col min="45" max="45" width="17.140625" style="12" bestFit="1" customWidth="1"/>
    <col min="46" max="46" width="16.5703125" bestFit="1" customWidth="1"/>
    <col min="47" max="47" width="14.5703125" bestFit="1" customWidth="1"/>
    <col min="48" max="48" width="12.5703125" bestFit="1" customWidth="1"/>
    <col min="49" max="49" width="12.140625" bestFit="1" customWidth="1"/>
  </cols>
  <sheetData>
    <row r="1" spans="1:49" s="1" customFormat="1" x14ac:dyDescent="0.25">
      <c r="A1" s="2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" t="s">
        <v>12</v>
      </c>
      <c r="P1" s="1" t="s">
        <v>13</v>
      </c>
      <c r="Q1" s="1" t="s">
        <v>14</v>
      </c>
      <c r="R1" s="1" t="s">
        <v>16</v>
      </c>
      <c r="S1" s="1" t="s">
        <v>15</v>
      </c>
      <c r="T1" s="1" t="s">
        <v>17</v>
      </c>
      <c r="U1" s="1" t="s">
        <v>18</v>
      </c>
      <c r="AQ1" s="1" t="s">
        <v>12</v>
      </c>
      <c r="AR1" s="1" t="s">
        <v>13</v>
      </c>
      <c r="AS1" s="1" t="s">
        <v>14</v>
      </c>
      <c r="AT1" s="1" t="s">
        <v>16</v>
      </c>
      <c r="AU1" s="1" t="s">
        <v>15</v>
      </c>
      <c r="AV1" s="1" t="s">
        <v>17</v>
      </c>
      <c r="AW1" s="1" t="s">
        <v>18</v>
      </c>
    </row>
    <row r="2" spans="1:49" s="1" customFormat="1" x14ac:dyDescent="0.25">
      <c r="A2" s="2"/>
      <c r="B2" s="13"/>
      <c r="C2" s="22" t="s">
        <v>0</v>
      </c>
      <c r="D2" s="22"/>
      <c r="E2" s="23" t="s">
        <v>24</v>
      </c>
      <c r="F2" s="23"/>
      <c r="G2" s="23"/>
      <c r="H2" s="13"/>
      <c r="I2" s="13"/>
      <c r="J2" s="13"/>
      <c r="K2" s="13"/>
      <c r="L2" s="13"/>
      <c r="M2" s="13"/>
      <c r="N2" s="13"/>
      <c r="O2" s="1">
        <v>24</v>
      </c>
      <c r="P2" s="9">
        <v>497000</v>
      </c>
      <c r="Q2" s="9">
        <v>25850.25</v>
      </c>
      <c r="R2" s="6">
        <f>RATE(O2,-Q2,P2,0,0)</f>
        <v>1.8560002435494275E-2</v>
      </c>
      <c r="S2" s="8">
        <f>R2*2</f>
        <v>3.712000487098855E-2</v>
      </c>
      <c r="T2" s="8">
        <f>S2/1.16</f>
        <v>3.200000419912806E-2</v>
      </c>
      <c r="U2" s="8">
        <f>T2*12</f>
        <v>0.38400005038953672</v>
      </c>
      <c r="AQ2" s="1">
        <v>24</v>
      </c>
      <c r="AR2" s="3">
        <v>200000</v>
      </c>
      <c r="AS2" s="3">
        <v>11558.27</v>
      </c>
      <c r="AT2" s="6">
        <f t="shared" ref="AT2" si="0">RATE(AQ2,-AS2,AR2,0,0)</f>
        <v>2.8013978675949854E-2</v>
      </c>
      <c r="AU2" s="6">
        <f>AT2*2</f>
        <v>5.6027957351899707E-2</v>
      </c>
      <c r="AV2" s="6">
        <f>AU2/1.16</f>
        <v>4.8299963234396302E-2</v>
      </c>
      <c r="AW2" s="6">
        <f>AV2*12</f>
        <v>0.5795995588127556</v>
      </c>
    </row>
    <row r="3" spans="1:49" s="1" customFormat="1" x14ac:dyDescent="0.25">
      <c r="A3" s="2"/>
      <c r="B3" s="13"/>
      <c r="C3" s="22" t="s">
        <v>1</v>
      </c>
      <c r="D3" s="22"/>
      <c r="E3" s="14" t="s">
        <v>2</v>
      </c>
      <c r="F3" s="13"/>
      <c r="G3" s="13"/>
      <c r="H3" s="13"/>
      <c r="I3" s="13"/>
      <c r="J3" s="13"/>
      <c r="K3" s="13"/>
      <c r="L3" s="13"/>
      <c r="M3" s="13"/>
      <c r="N3" s="13"/>
      <c r="O3" s="1">
        <v>48</v>
      </c>
      <c r="P3" s="9">
        <v>497000</v>
      </c>
      <c r="Q3" s="9">
        <v>15732</v>
      </c>
      <c r="R3" s="6">
        <f t="shared" ref="R3:R5" si="1">RATE(O3,-Q3,P3,0,0)</f>
        <v>1.8559989355188038E-2</v>
      </c>
      <c r="S3" s="8">
        <f t="shared" ref="S3:S5" si="2">R3*2</f>
        <v>3.7119978710376075E-2</v>
      </c>
      <c r="T3" s="8">
        <f t="shared" ref="T3:T5" si="3">S3/1.16</f>
        <v>3.1999981646875932E-2</v>
      </c>
      <c r="U3" s="8">
        <f t="shared" ref="U3:U5" si="4">T3*12</f>
        <v>0.38399977976251121</v>
      </c>
      <c r="AQ3" s="1">
        <v>48</v>
      </c>
      <c r="AR3" s="3">
        <v>200000</v>
      </c>
      <c r="AS3" s="3">
        <v>7462.28</v>
      </c>
      <c r="AT3" s="6">
        <f t="shared" ref="AT3:AT6" si="5">RATE(AQ3,-AS3,AR3,0,0)</f>
        <v>2.6853987594767842E-2</v>
      </c>
      <c r="AU3" s="6">
        <f t="shared" ref="AU3:AU6" si="6">AT3*2</f>
        <v>5.3707975189535684E-2</v>
      </c>
      <c r="AV3" s="6">
        <f t="shared" ref="AV3:AV6" si="7">AU3/1.16</f>
        <v>4.6299978611668693E-2</v>
      </c>
      <c r="AW3" s="6">
        <f t="shared" ref="AW3:AW6" si="8">AV3*12</f>
        <v>0.55559974334002438</v>
      </c>
    </row>
    <row r="4" spans="1:49" s="1" customFormat="1" ht="15" customHeight="1" x14ac:dyDescent="0.25">
      <c r="A4" s="2"/>
      <c r="B4" s="13"/>
      <c r="C4" s="22" t="s">
        <v>8</v>
      </c>
      <c r="D4" s="22"/>
      <c r="E4" s="10" t="s">
        <v>23</v>
      </c>
      <c r="F4" s="13"/>
      <c r="G4" s="24" t="s">
        <v>26</v>
      </c>
      <c r="H4" s="24"/>
      <c r="I4" s="24"/>
      <c r="J4" s="24"/>
      <c r="K4" s="13"/>
      <c r="L4" s="13"/>
      <c r="M4" s="13"/>
      <c r="N4" s="13"/>
      <c r="O4" s="1">
        <v>72</v>
      </c>
      <c r="P4" s="9">
        <v>497000</v>
      </c>
      <c r="Q4" s="9">
        <v>12568.05</v>
      </c>
      <c r="R4" s="6">
        <f t="shared" si="1"/>
        <v>1.855999177746296E-2</v>
      </c>
      <c r="S4" s="8">
        <f t="shared" si="2"/>
        <v>3.711998355492592E-2</v>
      </c>
      <c r="T4" s="8">
        <f t="shared" si="3"/>
        <v>3.1999985823212E-2</v>
      </c>
      <c r="U4" s="8">
        <f t="shared" si="4"/>
        <v>0.38399982987854397</v>
      </c>
      <c r="AQ4" s="1">
        <v>72</v>
      </c>
      <c r="AR4" s="3">
        <v>200000</v>
      </c>
      <c r="AS4" s="3">
        <v>6070.47</v>
      </c>
      <c r="AT4" s="6">
        <f t="shared" si="5"/>
        <v>2.5346012026443286E-2</v>
      </c>
      <c r="AU4" s="6">
        <f t="shared" si="6"/>
        <v>5.0692024052886572E-2</v>
      </c>
      <c r="AV4" s="6">
        <f t="shared" si="7"/>
        <v>4.370002073524705E-2</v>
      </c>
      <c r="AW4" s="6">
        <f t="shared" si="8"/>
        <v>0.52440024882296465</v>
      </c>
    </row>
    <row r="5" spans="1:49" s="1" customFormat="1" x14ac:dyDescent="0.25">
      <c r="A5" s="2"/>
      <c r="B5" s="13"/>
      <c r="C5" s="13"/>
      <c r="D5" s="13"/>
      <c r="E5" s="13"/>
      <c r="F5" s="13"/>
      <c r="G5" s="24"/>
      <c r="H5" s="24"/>
      <c r="I5" s="24"/>
      <c r="J5" s="24"/>
      <c r="K5" s="13"/>
      <c r="L5" s="13"/>
      <c r="M5" s="13"/>
      <c r="N5" s="13"/>
      <c r="O5" s="1">
        <v>96</v>
      </c>
      <c r="P5" s="9">
        <v>497000</v>
      </c>
      <c r="Q5" s="9">
        <v>11128.57</v>
      </c>
      <c r="R5" s="6">
        <f t="shared" si="1"/>
        <v>1.8559997634293605E-2</v>
      </c>
      <c r="S5" s="8">
        <f t="shared" si="2"/>
        <v>3.7119995268587211E-2</v>
      </c>
      <c r="T5" s="8">
        <f t="shared" si="3"/>
        <v>3.1999995921195873E-2</v>
      </c>
      <c r="U5" s="8">
        <f t="shared" si="4"/>
        <v>0.38399995105435047</v>
      </c>
      <c r="AQ5" s="1">
        <v>96</v>
      </c>
      <c r="AR5" s="3">
        <v>200000</v>
      </c>
      <c r="AS5" s="3">
        <v>5312.49</v>
      </c>
      <c r="AT5" s="6">
        <f t="shared" si="5"/>
        <v>2.3779972177139803E-2</v>
      </c>
      <c r="AU5" s="6">
        <f t="shared" si="6"/>
        <v>4.7559944354279605E-2</v>
      </c>
      <c r="AV5" s="6">
        <f t="shared" si="7"/>
        <v>4.0999952029551388E-2</v>
      </c>
      <c r="AW5" s="6">
        <f t="shared" si="8"/>
        <v>0.49199942435461663</v>
      </c>
    </row>
    <row r="6" spans="1:49" s="1" customFormat="1" x14ac:dyDescent="0.25">
      <c r="A6" s="2"/>
      <c r="B6" s="13"/>
      <c r="C6" s="22" t="str">
        <f>IF(E4="MONTO","Ingrese el Monto:","Ingrese la capacidad:")</f>
        <v>Ingrese el Monto:</v>
      </c>
      <c r="D6" s="22"/>
      <c r="E6" s="11">
        <v>102500</v>
      </c>
      <c r="F6" s="13"/>
      <c r="G6" s="24"/>
      <c r="H6" s="24"/>
      <c r="I6" s="24"/>
      <c r="J6" s="24"/>
      <c r="K6" s="18"/>
      <c r="L6" s="13"/>
      <c r="M6" s="13"/>
      <c r="N6" s="13"/>
      <c r="AQ6" s="1">
        <v>120</v>
      </c>
      <c r="AR6" s="3">
        <v>200000</v>
      </c>
      <c r="AS6" s="3">
        <v>4956.1400000000003</v>
      </c>
      <c r="AT6" s="6">
        <f t="shared" si="5"/>
        <v>2.3199998479506878E-2</v>
      </c>
      <c r="AU6" s="6">
        <f t="shared" si="6"/>
        <v>4.6399996959013756E-2</v>
      </c>
      <c r="AV6" s="6">
        <f t="shared" si="7"/>
        <v>3.9999997378460141E-2</v>
      </c>
      <c r="AW6" s="6">
        <f t="shared" si="8"/>
        <v>0.47999996854152172</v>
      </c>
    </row>
    <row r="7" spans="1:49" s="1" customFormat="1" x14ac:dyDescent="0.25">
      <c r="A7" s="2"/>
      <c r="B7" s="13"/>
      <c r="C7" s="13"/>
      <c r="D7" s="13"/>
      <c r="E7" s="13"/>
      <c r="F7" s="15"/>
      <c r="G7" s="24"/>
      <c r="H7" s="24"/>
      <c r="I7" s="24"/>
      <c r="J7" s="24"/>
      <c r="K7" s="13"/>
      <c r="L7" s="13"/>
      <c r="M7" s="13"/>
      <c r="N7" s="13"/>
      <c r="AR7" s="3"/>
      <c r="AS7" s="3"/>
      <c r="AT7" s="6"/>
      <c r="AU7" s="6"/>
      <c r="AV7" s="6"/>
      <c r="AW7" s="6"/>
    </row>
    <row r="8" spans="1:49" s="1" customFormat="1" x14ac:dyDescent="0.25">
      <c r="A8" s="2"/>
      <c r="B8" s="13"/>
      <c r="C8" s="13"/>
      <c r="D8" s="13"/>
      <c r="E8" s="13"/>
      <c r="F8" s="15"/>
      <c r="G8" s="15"/>
      <c r="H8" s="16"/>
      <c r="I8" s="17"/>
      <c r="J8" s="13"/>
      <c r="K8" s="13"/>
      <c r="L8" s="13"/>
      <c r="M8" s="13"/>
      <c r="N8" s="13"/>
      <c r="AR8" s="3"/>
      <c r="AS8" s="3"/>
      <c r="AT8" s="6"/>
      <c r="AU8" s="6"/>
      <c r="AV8" s="6"/>
      <c r="AW8" s="6"/>
    </row>
    <row r="9" spans="1:49" s="1" customFormat="1" x14ac:dyDescent="0.25">
      <c r="A9" s="2"/>
      <c r="B9" s="13"/>
      <c r="C9" s="20" t="s">
        <v>3</v>
      </c>
      <c r="D9" s="20" t="s">
        <v>4</v>
      </c>
      <c r="E9" s="20" t="s">
        <v>19</v>
      </c>
      <c r="F9" s="20" t="s">
        <v>22</v>
      </c>
      <c r="G9" s="20" t="s">
        <v>21</v>
      </c>
      <c r="H9" s="20" t="s">
        <v>9</v>
      </c>
      <c r="I9" s="20" t="s">
        <v>6</v>
      </c>
      <c r="J9" s="20" t="s">
        <v>10</v>
      </c>
      <c r="K9" s="20" t="s">
        <v>11</v>
      </c>
      <c r="L9" s="20" t="s">
        <v>5</v>
      </c>
      <c r="M9" s="13"/>
      <c r="N9" s="13"/>
      <c r="AR9" s="3"/>
      <c r="AS9" s="3"/>
      <c r="AT9" s="6"/>
      <c r="AU9" s="6"/>
      <c r="AV9" s="6"/>
      <c r="AW9" s="6"/>
    </row>
    <row r="10" spans="1:49" s="1" customFormat="1" x14ac:dyDescent="0.25">
      <c r="A10" s="2">
        <v>24</v>
      </c>
      <c r="B10" s="13"/>
      <c r="C10" s="4" t="str">
        <f>CONCATENATE(A10," Q")</f>
        <v>24 Q</v>
      </c>
      <c r="D10" s="5">
        <f>IF(IF($E$4="MONTO",IF((IF(MOD($E$6,500)=0,$E$6,$E$6-MOD($E$6,500)))&gt;200000,200000,IF(MOD($E$6,500)=0,$E$6,$E$6-MOD($E$6,500))),IF(((1-(1+(F10/2))^(-A10))/((F10/2)))*$E$6&gt;200000,200000,IF(MOD(((1-(1+(F10/2))^(-A10))/(F10))*$E$6,500)=0,((1-(1+(F10/2))^(-A10))/((F10/2)))*$E$6,((1-(1+(F10/2))^(-A10))/((F10/2)))*$E$6-MOD(((1-(1+(F10/2))^(-A10))/((F10/2)))*$E$6,500))))&lt;5000,
0,
IF($E$4="MONTO",IF((IF(MOD($E$6,500)=0,$E$6,$E$6-MOD($E$6,500)))&gt;200000,200000,IF(MOD($E$6,500)=0,$E$6,$E$6-MOD($E$6,500))),IF(((1-(1+(F10/2))^(-A10))/((F10/2)))*$E$6&gt;200000,200000,IF(MOD(((1-(1+(F10/2))^(-A10))/(F10))*$E$6,500)=0,((1-(1+(F10/2))^(-A10))/((F10/2)))*$E$6,((1-(1+(F10/2))^(-A10))/((F10/2)))*$E$6-MOD(((1-(1+(F10/2))^(-A10))/((F10/2)))*$E$6,500)))))</f>
        <v>102500</v>
      </c>
      <c r="E10" s="5">
        <f>ROUND(-PMT(F10/2,A10,D10,,0),2)</f>
        <v>5923.61</v>
      </c>
      <c r="F10" s="7">
        <f>VLOOKUP(A10,$AQ$1:$AU$16,5,0)</f>
        <v>5.6027957351899707E-2</v>
      </c>
      <c r="G10" s="7">
        <f>F10/1.16</f>
        <v>4.8299963234396302E-2</v>
      </c>
      <c r="H10" s="7">
        <f t="shared" ref="H10:H14" si="9">IFERROR(((L10-I10)/I10)/(A10/2),0)</f>
        <v>3.2249300813008121E-2</v>
      </c>
      <c r="I10" s="5">
        <f t="shared" ref="I10:I14" si="10">D10</f>
        <v>102500</v>
      </c>
      <c r="J10" s="5">
        <f t="shared" ref="J10:J14" si="11">(L10-I10)/1.16</f>
        <v>34195.379310344819</v>
      </c>
      <c r="K10" s="5">
        <f t="shared" ref="K10:K14" si="12">J10*16%</f>
        <v>5471.2606896551715</v>
      </c>
      <c r="L10" s="5">
        <f>E10*A10</f>
        <v>142166.63999999998</v>
      </c>
      <c r="M10" s="13"/>
      <c r="N10" s="13"/>
      <c r="AR10" s="3"/>
      <c r="AS10" s="3"/>
      <c r="AT10" s="6"/>
      <c r="AU10" s="6"/>
      <c r="AV10" s="6"/>
      <c r="AW10" s="6"/>
    </row>
    <row r="11" spans="1:49" s="1" customFormat="1" x14ac:dyDescent="0.25">
      <c r="A11" s="2">
        <v>48</v>
      </c>
      <c r="B11" s="13"/>
      <c r="C11" s="4" t="str">
        <f t="shared" ref="C11:C12" si="13">CONCATENATE(A11," Q")</f>
        <v>48 Q</v>
      </c>
      <c r="D11" s="5">
        <f t="shared" ref="D11:D14" si="14">IF(IF($E$4="MONTO",IF((IF(MOD($E$6,500)=0,$E$6,$E$6-MOD($E$6,500)))&gt;200000,200000,IF(MOD($E$6,500)=0,$E$6,$E$6-MOD($E$6,500))),IF(((1-(1+(F11/2))^(-A11))/((F11/2)))*$E$6&gt;200000,200000,IF(MOD(((1-(1+(F11/2))^(-A11))/(F11))*$E$6,500)=0,((1-(1+(F11/2))^(-A11))/((F11/2)))*$E$6,((1-(1+(F11/2))^(-A11))/((F11/2)))*$E$6-MOD(((1-(1+(F11/2))^(-A11))/((F11/2)))*$E$6,500))))&lt;5000,
0,
IF($E$4="MONTO",IF((IF(MOD($E$6,500)=0,$E$6,$E$6-MOD($E$6,500)))&gt;200000,200000,IF(MOD($E$6,500)=0,$E$6,$E$6-MOD($E$6,500))),IF(((1-(1+(F11/2))^(-A11))/((F11/2)))*$E$6&gt;200000,200000,IF(MOD(((1-(1+(F11/2))^(-A11))/(F11))*$E$6,500)=0,((1-(1+(F11/2))^(-A11))/((F11/2)))*$E$6,((1-(1+(F11/2))^(-A11))/((F11/2)))*$E$6-MOD(((1-(1+(F11/2))^(-A11))/((F11/2)))*$E$6,500)))))</f>
        <v>102500</v>
      </c>
      <c r="E11" s="5">
        <f t="shared" ref="E11:E14" si="15">ROUND(-PMT(F11/2,A11,D11,,0),2)</f>
        <v>3824.42</v>
      </c>
      <c r="F11" s="7">
        <f>VLOOKUP(A11,$AQ$1:$AU$16,5,0)</f>
        <v>5.3707975189535684E-2</v>
      </c>
      <c r="G11" s="7">
        <f t="shared" ref="G11:G14" si="16">F11/1.16</f>
        <v>4.6299978611668693E-2</v>
      </c>
      <c r="H11" s="7">
        <f t="shared" si="9"/>
        <v>3.2956162601626017E-2</v>
      </c>
      <c r="I11" s="5">
        <f t="shared" si="10"/>
        <v>102500</v>
      </c>
      <c r="J11" s="5">
        <f t="shared" si="11"/>
        <v>69889.79310344829</v>
      </c>
      <c r="K11" s="5">
        <f t="shared" si="12"/>
        <v>11182.366896551726</v>
      </c>
      <c r="L11" s="5">
        <f t="shared" ref="L11:L14" si="17">E11*A11</f>
        <v>183572.16</v>
      </c>
      <c r="M11" s="13"/>
      <c r="N11" s="13"/>
      <c r="AR11" s="3"/>
      <c r="AS11" s="3"/>
    </row>
    <row r="12" spans="1:49" s="1" customFormat="1" x14ac:dyDescent="0.25">
      <c r="A12" s="2">
        <v>72</v>
      </c>
      <c r="B12" s="13"/>
      <c r="C12" s="4" t="str">
        <f t="shared" si="13"/>
        <v>72 Q</v>
      </c>
      <c r="D12" s="5">
        <f t="shared" si="14"/>
        <v>102500</v>
      </c>
      <c r="E12" s="5">
        <f t="shared" si="15"/>
        <v>3111.12</v>
      </c>
      <c r="F12" s="7">
        <f>VLOOKUP(A12,$AQ$1:$AU$16,5,0)</f>
        <v>5.0692024052886572E-2</v>
      </c>
      <c r="G12" s="7">
        <f t="shared" si="16"/>
        <v>4.370002073524705E-2</v>
      </c>
      <c r="H12" s="7">
        <f t="shared" si="9"/>
        <v>3.2927002710027096E-2</v>
      </c>
      <c r="I12" s="5">
        <f t="shared" si="10"/>
        <v>102500</v>
      </c>
      <c r="J12" s="5">
        <f t="shared" si="11"/>
        <v>104741.93103448275</v>
      </c>
      <c r="K12" s="5">
        <f t="shared" si="12"/>
        <v>16758.708965517242</v>
      </c>
      <c r="L12" s="5">
        <f t="shared" si="17"/>
        <v>224000.63999999998</v>
      </c>
      <c r="M12" s="13"/>
      <c r="N12" s="13"/>
      <c r="AR12" s="3"/>
      <c r="AS12" s="3"/>
    </row>
    <row r="13" spans="1:49" s="1" customFormat="1" x14ac:dyDescent="0.25">
      <c r="A13" s="2">
        <v>96</v>
      </c>
      <c r="B13" s="13"/>
      <c r="C13" s="4" t="str">
        <f>CONCATENATE(A13," Q")</f>
        <v>96 Q</v>
      </c>
      <c r="D13" s="5">
        <f t="shared" si="14"/>
        <v>102500</v>
      </c>
      <c r="E13" s="5">
        <f t="shared" si="15"/>
        <v>2722.65</v>
      </c>
      <c r="F13" s="7">
        <f>VLOOKUP(A13,$AQ$1:$AU$16,5,0)</f>
        <v>4.7559944354279605E-2</v>
      </c>
      <c r="G13" s="7">
        <f t="shared" si="16"/>
        <v>4.0999952029551388E-2</v>
      </c>
      <c r="H13" s="7">
        <f t="shared" si="9"/>
        <v>3.2291544715447158E-2</v>
      </c>
      <c r="I13" s="5">
        <f t="shared" si="10"/>
        <v>102500</v>
      </c>
      <c r="J13" s="5">
        <f t="shared" si="11"/>
        <v>136960.68965517243</v>
      </c>
      <c r="K13" s="5">
        <f t="shared" si="12"/>
        <v>21913.710344827588</v>
      </c>
      <c r="L13" s="5">
        <f t="shared" si="17"/>
        <v>261374.40000000002</v>
      </c>
      <c r="M13" s="13"/>
      <c r="N13" s="13"/>
      <c r="AR13" s="3"/>
      <c r="AS13" s="3"/>
    </row>
    <row r="14" spans="1:49" s="1" customFormat="1" x14ac:dyDescent="0.25">
      <c r="A14" s="2">
        <v>120</v>
      </c>
      <c r="B14" s="13"/>
      <c r="C14" s="4" t="str">
        <f t="shared" ref="C14" si="18">CONCATENATE(A14," Q")</f>
        <v>120 Q</v>
      </c>
      <c r="D14" s="5">
        <f t="shared" si="14"/>
        <v>102500</v>
      </c>
      <c r="E14" s="5">
        <f t="shared" si="15"/>
        <v>2540.02</v>
      </c>
      <c r="F14" s="7">
        <f>VLOOKUP(A14,$AQ$1:$AU$16,5,0)</f>
        <v>4.6399996959013756E-2</v>
      </c>
      <c r="G14" s="7">
        <f t="shared" si="16"/>
        <v>3.9999997378460141E-2</v>
      </c>
      <c r="H14" s="7">
        <f t="shared" si="9"/>
        <v>3.2894699186991873E-2</v>
      </c>
      <c r="I14" s="5">
        <f t="shared" si="10"/>
        <v>102500</v>
      </c>
      <c r="J14" s="5">
        <f t="shared" si="11"/>
        <v>174398.62068965522</v>
      </c>
      <c r="K14" s="5">
        <f t="shared" si="12"/>
        <v>27903.779310344835</v>
      </c>
      <c r="L14" s="5">
        <f t="shared" si="17"/>
        <v>304802.40000000002</v>
      </c>
      <c r="M14" s="13"/>
      <c r="N14" s="13"/>
      <c r="AR14" s="3"/>
      <c r="AS14" s="3"/>
    </row>
    <row r="15" spans="1:49" s="1" customFormat="1" x14ac:dyDescent="0.25">
      <c r="A15" s="2"/>
      <c r="B15" s="13"/>
      <c r="C15" s="19" t="s">
        <v>7</v>
      </c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AR15" s="3"/>
      <c r="AS15" s="3"/>
    </row>
    <row r="16" spans="1:49" s="1" customFormat="1" x14ac:dyDescent="0.25">
      <c r="A16" s="2"/>
      <c r="B16" s="13"/>
      <c r="C16" s="19" t="s">
        <v>20</v>
      </c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AR16" s="3"/>
      <c r="AS16" s="3"/>
    </row>
    <row r="17" spans="1:45" s="1" customFormat="1" x14ac:dyDescent="0.25">
      <c r="A17" s="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AR17" s="3"/>
      <c r="AS17" s="3"/>
    </row>
    <row r="18" spans="1:45" s="1" customFormat="1" x14ac:dyDescent="0.25">
      <c r="A18" s="2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AR18" s="3"/>
      <c r="AS18" s="3"/>
    </row>
    <row r="19" spans="1:45" s="1" customFormat="1" x14ac:dyDescent="0.25">
      <c r="A19" s="2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AR19" s="3"/>
      <c r="AS19" s="3"/>
    </row>
    <row r="20" spans="1:45" s="1" customFormat="1" x14ac:dyDescent="0.25">
      <c r="A20" s="2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AR20" s="3"/>
      <c r="AS20" s="3"/>
    </row>
    <row r="21" spans="1:45" s="1" customFormat="1" x14ac:dyDescent="0.25">
      <c r="A21" s="2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AR21" s="3"/>
      <c r="AS21" s="3"/>
    </row>
    <row r="22" spans="1:45" s="1" customFormat="1" x14ac:dyDescent="0.25">
      <c r="A22" s="2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AR22" s="3"/>
      <c r="AS22" s="3"/>
    </row>
    <row r="23" spans="1:45" s="1" customFormat="1" x14ac:dyDescent="0.25">
      <c r="A23" s="2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AR23" s="3"/>
      <c r="AS23" s="3"/>
    </row>
    <row r="24" spans="1:45" s="1" customFormat="1" x14ac:dyDescent="0.25">
      <c r="A24" s="2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AR24" s="3"/>
      <c r="AS24" s="3"/>
    </row>
    <row r="25" spans="1:45" x14ac:dyDescent="0.25">
      <c r="A25" s="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</row>
    <row r="26" spans="1:45" x14ac:dyDescent="0.25">
      <c r="A26" s="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</row>
    <row r="27" spans="1:45" x14ac:dyDescent="0.25">
      <c r="A27" s="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</row>
    <row r="28" spans="1:45" x14ac:dyDescent="0.25">
      <c r="A28" s="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</row>
    <row r="29" spans="1:45" x14ac:dyDescent="0.25">
      <c r="A29" s="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</row>
    <row r="30" spans="1:45" x14ac:dyDescent="0.25">
      <c r="A30" s="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</row>
  </sheetData>
  <sheetProtection algorithmName="SHA-512" hashValue="9OSiICNvYjtzRfqGNcKzKyiL/FBZV3PQ8oK44RXUFBahKVmGrDdh5c+K68+4VUcpOJOzT2GogfiRDxiJDxoWgQ==" saltValue="2goqvjMy7EHxJhXMVIsAyA==" spinCount="100000" sheet="1" objects="1" scenarios="1" selectLockedCells="1"/>
  <mergeCells count="6">
    <mergeCell ref="C2:D2"/>
    <mergeCell ref="E2:G2"/>
    <mergeCell ref="C3:D3"/>
    <mergeCell ref="C4:D4"/>
    <mergeCell ref="G4:J7"/>
    <mergeCell ref="C6:D6"/>
  </mergeCells>
  <dataValidations count="2">
    <dataValidation type="custom" allowBlank="1" showInputMessage="1" showErrorMessage="1" sqref="E6">
      <formula1>E6&gt;=0</formula1>
    </dataValidation>
    <dataValidation type="list" allowBlank="1" showInputMessage="1" showErrorMessage="1" sqref="E4">
      <formula1>"Monto, Capacidad"</formula1>
    </dataValidation>
  </dataValidations>
  <pageMargins left="0.7" right="0.7" top="0.75" bottom="0.75" header="0.3" footer="0.3"/>
  <pageSetup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W28"/>
  <sheetViews>
    <sheetView showGridLines="0" topLeftCell="B1" zoomScale="180" zoomScaleNormal="180" workbookViewId="0">
      <selection activeCell="E6" sqref="E6"/>
    </sheetView>
  </sheetViews>
  <sheetFormatPr baseColWidth="10" defaultColWidth="11.42578125" defaultRowHeight="15" x14ac:dyDescent="0.25"/>
  <cols>
    <col min="1" max="1" width="6.5703125" hidden="1" customWidth="1"/>
    <col min="2" max="2" width="4.42578125" customWidth="1"/>
    <col min="4" max="4" width="14.42578125" bestFit="1" customWidth="1"/>
    <col min="5" max="5" width="13.140625" bestFit="1" customWidth="1"/>
    <col min="6" max="6" width="13.5703125" bestFit="1" customWidth="1"/>
    <col min="7" max="7" width="10.28515625" bestFit="1" customWidth="1"/>
    <col min="8" max="8" width="14.42578125" bestFit="1" customWidth="1"/>
    <col min="9" max="9" width="13.28515625" bestFit="1" customWidth="1"/>
    <col min="10" max="10" width="12.7109375" customWidth="1"/>
    <col min="11" max="11" width="14.28515625" bestFit="1" customWidth="1"/>
    <col min="12" max="12" width="12.7109375" bestFit="1" customWidth="1"/>
    <col min="15" max="20" width="0" hidden="1" customWidth="1"/>
    <col min="21" max="21" width="13.140625" hidden="1" customWidth="1"/>
    <col min="43" max="43" width="8.5703125" bestFit="1" customWidth="1"/>
    <col min="44" max="44" width="12.5703125" style="12" bestFit="1" customWidth="1"/>
    <col min="45" max="45" width="17.140625" style="12" bestFit="1" customWidth="1"/>
    <col min="46" max="46" width="16.5703125" bestFit="1" customWidth="1"/>
    <col min="47" max="47" width="14.5703125" bestFit="1" customWidth="1"/>
    <col min="48" max="48" width="12.5703125" bestFit="1" customWidth="1"/>
    <col min="49" max="49" width="12.140625" bestFit="1" customWidth="1"/>
  </cols>
  <sheetData>
    <row r="1" spans="1:49" s="1" customFormat="1" x14ac:dyDescent="0.25">
      <c r="A1" s="2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" t="s">
        <v>12</v>
      </c>
      <c r="P1" s="1" t="s">
        <v>13</v>
      </c>
      <c r="Q1" s="1" t="s">
        <v>14</v>
      </c>
      <c r="R1" s="1" t="s">
        <v>16</v>
      </c>
      <c r="S1" s="1" t="s">
        <v>15</v>
      </c>
      <c r="T1" s="1" t="s">
        <v>17</v>
      </c>
      <c r="U1" s="1" t="s">
        <v>18</v>
      </c>
      <c r="AQ1" s="1" t="s">
        <v>12</v>
      </c>
      <c r="AR1" s="1" t="s">
        <v>13</v>
      </c>
      <c r="AS1" s="1" t="s">
        <v>14</v>
      </c>
      <c r="AT1" s="1" t="s">
        <v>16</v>
      </c>
      <c r="AU1" s="1" t="s">
        <v>15</v>
      </c>
      <c r="AV1" s="1" t="s">
        <v>17</v>
      </c>
      <c r="AW1" s="1" t="s">
        <v>18</v>
      </c>
    </row>
    <row r="2" spans="1:49" s="1" customFormat="1" x14ac:dyDescent="0.25">
      <c r="A2" s="2"/>
      <c r="B2" s="13"/>
      <c r="C2" s="22" t="s">
        <v>0</v>
      </c>
      <c r="D2" s="22"/>
      <c r="E2" s="23" t="s">
        <v>24</v>
      </c>
      <c r="F2" s="23"/>
      <c r="G2" s="23"/>
      <c r="H2" s="13"/>
      <c r="I2" s="13"/>
      <c r="J2" s="13"/>
      <c r="K2" s="13"/>
      <c r="L2" s="13"/>
      <c r="M2" s="13"/>
      <c r="N2" s="13"/>
      <c r="O2" s="1">
        <v>24</v>
      </c>
      <c r="P2" s="9">
        <v>497000</v>
      </c>
      <c r="Q2" s="9">
        <v>25850.25</v>
      </c>
      <c r="R2" s="6">
        <f>RATE(O2,-Q2,P2,0,0)</f>
        <v>1.8560002435494275E-2</v>
      </c>
      <c r="S2" s="8">
        <f>R2*2</f>
        <v>3.712000487098855E-2</v>
      </c>
      <c r="T2" s="8">
        <f>S2/1.16</f>
        <v>3.200000419912806E-2</v>
      </c>
      <c r="U2" s="8">
        <f>T2*12</f>
        <v>0.38400005038953672</v>
      </c>
      <c r="AQ2" s="1">
        <v>72</v>
      </c>
      <c r="AR2" s="3">
        <v>200000</v>
      </c>
      <c r="AS2" s="3">
        <v>6370.76</v>
      </c>
      <c r="AT2" s="6">
        <f t="shared" ref="AT2:AT4" si="0">RATE(AQ2,-AS2,AR2,0,0)</f>
        <v>2.725996919549014E-2</v>
      </c>
      <c r="AU2" s="6">
        <f>AT2*2</f>
        <v>5.451993839098028E-2</v>
      </c>
      <c r="AV2" s="6">
        <f>AU2/1.16</f>
        <v>4.6999946888776109E-2</v>
      </c>
      <c r="AW2" s="6">
        <f>AV2*12</f>
        <v>0.56399936266531325</v>
      </c>
    </row>
    <row r="3" spans="1:49" s="1" customFormat="1" x14ac:dyDescent="0.25">
      <c r="A3" s="2"/>
      <c r="B3" s="13"/>
      <c r="C3" s="22" t="s">
        <v>1</v>
      </c>
      <c r="D3" s="22"/>
      <c r="E3" s="21" t="s">
        <v>2</v>
      </c>
      <c r="F3" s="13"/>
      <c r="G3" s="13"/>
      <c r="H3" s="13"/>
      <c r="I3" s="13"/>
      <c r="J3" s="13"/>
      <c r="K3" s="13"/>
      <c r="L3" s="13"/>
      <c r="M3" s="13"/>
      <c r="N3" s="13"/>
      <c r="O3" s="1">
        <v>48</v>
      </c>
      <c r="P3" s="9">
        <v>497000</v>
      </c>
      <c r="Q3" s="9">
        <v>15732</v>
      </c>
      <c r="R3" s="6">
        <f t="shared" ref="R3:R5" si="1">RATE(O3,-Q3,P3,0,0)</f>
        <v>1.8559989355188038E-2</v>
      </c>
      <c r="S3" s="8">
        <f t="shared" ref="S3:S5" si="2">R3*2</f>
        <v>3.7119978710376075E-2</v>
      </c>
      <c r="T3" s="8">
        <f t="shared" ref="T3:T5" si="3">S3/1.16</f>
        <v>3.1999981646875932E-2</v>
      </c>
      <c r="U3" s="8">
        <f t="shared" ref="U3:U5" si="4">T3*12</f>
        <v>0.38399977976251121</v>
      </c>
      <c r="AQ3" s="1">
        <v>96</v>
      </c>
      <c r="AR3" s="3">
        <v>200000</v>
      </c>
      <c r="AS3" s="3">
        <v>5680.88</v>
      </c>
      <c r="AT3" s="6">
        <f t="shared" si="0"/>
        <v>2.5983985459853306E-2</v>
      </c>
      <c r="AU3" s="6">
        <f t="shared" ref="AU3:AU4" si="5">AT3*2</f>
        <v>5.1967970919706612E-2</v>
      </c>
      <c r="AV3" s="6">
        <f t="shared" ref="AV3:AV4" si="6">AU3/1.16</f>
        <v>4.4799974930781562E-2</v>
      </c>
      <c r="AW3" s="6">
        <f t="shared" ref="AW3:AW4" si="7">AV3*12</f>
        <v>0.53759969916937878</v>
      </c>
    </row>
    <row r="4" spans="1:49" s="1" customFormat="1" ht="15" customHeight="1" x14ac:dyDescent="0.25">
      <c r="A4" s="2"/>
      <c r="B4" s="13"/>
      <c r="C4" s="22" t="s">
        <v>8</v>
      </c>
      <c r="D4" s="22"/>
      <c r="E4" s="10" t="s">
        <v>23</v>
      </c>
      <c r="F4" s="13"/>
      <c r="G4" s="25" t="s">
        <v>27</v>
      </c>
      <c r="H4" s="25"/>
      <c r="I4" s="25"/>
      <c r="J4" s="25"/>
      <c r="K4" s="13"/>
      <c r="L4" s="13"/>
      <c r="M4" s="13"/>
      <c r="N4" s="13"/>
      <c r="O4" s="1">
        <v>72</v>
      </c>
      <c r="P4" s="9">
        <v>497000</v>
      </c>
      <c r="Q4" s="9">
        <v>12568.05</v>
      </c>
      <c r="R4" s="6">
        <f t="shared" si="1"/>
        <v>1.855999177746296E-2</v>
      </c>
      <c r="S4" s="8">
        <f t="shared" si="2"/>
        <v>3.711998355492592E-2</v>
      </c>
      <c r="T4" s="8">
        <f t="shared" si="3"/>
        <v>3.1999985823212E-2</v>
      </c>
      <c r="U4" s="8">
        <f t="shared" si="4"/>
        <v>0.38399982987854397</v>
      </c>
      <c r="AQ4" s="1">
        <v>120</v>
      </c>
      <c r="AR4" s="3">
        <v>200000</v>
      </c>
      <c r="AS4" s="3">
        <v>5261.73</v>
      </c>
      <c r="AT4" s="6">
        <f t="shared" si="0"/>
        <v>2.4940026052454267E-2</v>
      </c>
      <c r="AU4" s="6">
        <f t="shared" si="5"/>
        <v>4.9880052104908534E-2</v>
      </c>
      <c r="AV4" s="6">
        <f t="shared" si="6"/>
        <v>4.3000044918024602E-2</v>
      </c>
      <c r="AW4" s="6">
        <f t="shared" si="7"/>
        <v>0.51600053901629517</v>
      </c>
    </row>
    <row r="5" spans="1:49" s="1" customFormat="1" x14ac:dyDescent="0.25">
      <c r="A5" s="2"/>
      <c r="B5" s="13"/>
      <c r="C5" s="13"/>
      <c r="D5" s="13"/>
      <c r="E5" s="13"/>
      <c r="F5" s="13"/>
      <c r="G5" s="25"/>
      <c r="H5" s="25"/>
      <c r="I5" s="25"/>
      <c r="J5" s="25"/>
      <c r="K5" s="13"/>
      <c r="L5" s="13"/>
      <c r="M5" s="13"/>
      <c r="N5" s="13"/>
      <c r="O5" s="1">
        <v>96</v>
      </c>
      <c r="P5" s="9">
        <v>497000</v>
      </c>
      <c r="Q5" s="9">
        <v>11128.57</v>
      </c>
      <c r="R5" s="6">
        <f t="shared" si="1"/>
        <v>1.8559997634293605E-2</v>
      </c>
      <c r="S5" s="8">
        <f t="shared" si="2"/>
        <v>3.7119995268587211E-2</v>
      </c>
      <c r="T5" s="8">
        <f t="shared" si="3"/>
        <v>3.1999995921195873E-2</v>
      </c>
      <c r="U5" s="8">
        <f t="shared" si="4"/>
        <v>0.38399995105435047</v>
      </c>
      <c r="AR5" s="3"/>
      <c r="AS5" s="3"/>
      <c r="AT5" s="6"/>
      <c r="AU5" s="6"/>
      <c r="AV5" s="6"/>
      <c r="AW5" s="6"/>
    </row>
    <row r="6" spans="1:49" s="1" customFormat="1" x14ac:dyDescent="0.25">
      <c r="A6" s="2"/>
      <c r="B6" s="13"/>
      <c r="C6" s="22" t="str">
        <f>IF(E4="MONTO","Ingrese el Monto:","Ingrese la capacidad:")</f>
        <v>Ingrese el Monto:</v>
      </c>
      <c r="D6" s="22"/>
      <c r="E6" s="11">
        <v>155000</v>
      </c>
      <c r="F6" s="13"/>
      <c r="G6" s="25"/>
      <c r="H6" s="25"/>
      <c r="I6" s="25"/>
      <c r="J6" s="25"/>
      <c r="K6" s="18"/>
      <c r="L6" s="13"/>
      <c r="M6" s="13"/>
      <c r="N6" s="13"/>
      <c r="AR6" s="3"/>
      <c r="AS6" s="3"/>
      <c r="AT6" s="6"/>
      <c r="AU6" s="6"/>
      <c r="AV6" s="6"/>
      <c r="AW6" s="6"/>
    </row>
    <row r="7" spans="1:49" s="1" customFormat="1" x14ac:dyDescent="0.25">
      <c r="A7" s="2"/>
      <c r="B7" s="13"/>
      <c r="C7" s="13"/>
      <c r="D7" s="13"/>
      <c r="E7" s="13"/>
      <c r="F7" s="15"/>
      <c r="G7" s="25"/>
      <c r="H7" s="25"/>
      <c r="I7" s="25"/>
      <c r="J7" s="25"/>
      <c r="K7" s="13"/>
      <c r="L7" s="13"/>
      <c r="M7" s="13"/>
      <c r="N7" s="13"/>
      <c r="AR7" s="3"/>
      <c r="AS7" s="3"/>
      <c r="AT7" s="6"/>
      <c r="AU7" s="6"/>
      <c r="AV7" s="6"/>
      <c r="AW7" s="6"/>
    </row>
    <row r="8" spans="1:49" s="1" customFormat="1" x14ac:dyDescent="0.25">
      <c r="A8" s="2"/>
      <c r="B8" s="13"/>
      <c r="C8" s="13"/>
      <c r="D8" s="13"/>
      <c r="E8" s="13"/>
      <c r="F8" s="15"/>
      <c r="G8" s="15"/>
      <c r="H8" s="16"/>
      <c r="I8" s="17"/>
      <c r="J8" s="13"/>
      <c r="K8" s="13"/>
      <c r="L8" s="13"/>
      <c r="M8" s="13"/>
      <c r="N8" s="13"/>
      <c r="AR8" s="3"/>
      <c r="AS8" s="3"/>
      <c r="AT8" s="6"/>
      <c r="AU8" s="6"/>
      <c r="AV8" s="6"/>
      <c r="AW8" s="6"/>
    </row>
    <row r="9" spans="1:49" s="1" customFormat="1" x14ac:dyDescent="0.25">
      <c r="A9" s="2"/>
      <c r="B9" s="13"/>
      <c r="C9" s="20" t="s">
        <v>3</v>
      </c>
      <c r="D9" s="20" t="s">
        <v>4</v>
      </c>
      <c r="E9" s="20" t="s">
        <v>19</v>
      </c>
      <c r="F9" s="20" t="s">
        <v>22</v>
      </c>
      <c r="G9" s="20" t="s">
        <v>21</v>
      </c>
      <c r="H9" s="20" t="s">
        <v>9</v>
      </c>
      <c r="I9" s="20" t="s">
        <v>6</v>
      </c>
      <c r="J9" s="20" t="s">
        <v>10</v>
      </c>
      <c r="K9" s="20" t="s">
        <v>11</v>
      </c>
      <c r="L9" s="20" t="s">
        <v>5</v>
      </c>
      <c r="M9" s="13"/>
      <c r="N9" s="13"/>
      <c r="AR9" s="3"/>
      <c r="AS9" s="3"/>
      <c r="AT9" s="6"/>
      <c r="AU9" s="6"/>
      <c r="AV9" s="6"/>
      <c r="AW9" s="6"/>
    </row>
    <row r="10" spans="1:49" s="1" customFormat="1" x14ac:dyDescent="0.25">
      <c r="A10" s="2">
        <v>72</v>
      </c>
      <c r="B10" s="13"/>
      <c r="C10" s="4" t="str">
        <f t="shared" ref="C10" si="8">CONCATENATE(A10," Q")</f>
        <v>72 Q</v>
      </c>
      <c r="D10" s="5">
        <f t="shared" ref="D10:D12" si="9">IF(IF($E$4="MONTO",IF((IF(MOD($E$6,500)=0,$E$6,$E$6-MOD($E$6,500)))&gt;200000,200000,IF(MOD($E$6,500)=0,$E$6,$E$6-MOD($E$6,500))),IF(((1-(1+(F10/2))^(-A10))/((F10/2)))*$E$6&gt;200000,200000,IF(MOD(((1-(1+(F10/2))^(-A10))/(F10))*$E$6,500)=0,((1-(1+(F10/2))^(-A10))/((F10/2)))*$E$6,((1-(1+(F10/2))^(-A10))/((F10/2)))*$E$6-MOD(((1-(1+(F10/2))^(-A10))/((F10/2)))*$E$6,500))))&lt;5000,
0,
IF($E$4="MONTO",IF((IF(MOD($E$6,500)=0,$E$6,$E$6-MOD($E$6,500)))&gt;200000,200000,IF(MOD($E$6,500)=0,$E$6,$E$6-MOD($E$6,500))),IF(((1-(1+(F10/2))^(-A10))/((F10/2)))*$E$6&gt;200000,200000,IF(MOD(((1-(1+(F10/2))^(-A10))/(F10))*$E$6,500)=0,((1-(1+(F10/2))^(-A10))/((F10/2)))*$E$6,((1-(1+(F10/2))^(-A10))/((F10/2)))*$E$6-MOD(((1-(1+(F10/2))^(-A10))/((F10/2)))*$E$6,500)))))</f>
        <v>155000</v>
      </c>
      <c r="E10" s="5">
        <f t="shared" ref="E10:E12" si="10">ROUND(-PMT(F10/2,A10,D10,,0),2)</f>
        <v>4937.34</v>
      </c>
      <c r="F10" s="7">
        <f>VLOOKUP(A10,$AQ$1:$AU$14,5,0)</f>
        <v>5.451993839098028E-2</v>
      </c>
      <c r="G10" s="7">
        <f t="shared" ref="G10:G12" si="11">F10/1.16</f>
        <v>4.6999946888776109E-2</v>
      </c>
      <c r="H10" s="7">
        <f t="shared" ref="H10:H12" si="12">IFERROR(((L10-I10)/I10)/(A10/2),0)</f>
        <v>3.5929835125448027E-2</v>
      </c>
      <c r="I10" s="5">
        <f t="shared" ref="I10:I12" si="13">D10</f>
        <v>155000</v>
      </c>
      <c r="J10" s="5">
        <f t="shared" ref="J10:J12" si="14">(L10-I10)/1.16</f>
        <v>172834.89655172414</v>
      </c>
      <c r="K10" s="5">
        <f t="shared" ref="K10:K12" si="15">J10*16%</f>
        <v>27653.583448275866</v>
      </c>
      <c r="L10" s="5">
        <f t="shared" ref="L10:L12" si="16">E10*A10</f>
        <v>355488.48</v>
      </c>
      <c r="M10" s="13"/>
      <c r="N10" s="13"/>
      <c r="AR10" s="3"/>
      <c r="AS10" s="3"/>
    </row>
    <row r="11" spans="1:49" s="1" customFormat="1" x14ac:dyDescent="0.25">
      <c r="A11" s="2">
        <v>96</v>
      </c>
      <c r="B11" s="13"/>
      <c r="C11" s="4" t="str">
        <f>CONCATENATE(A11," Q")</f>
        <v>96 Q</v>
      </c>
      <c r="D11" s="5">
        <f t="shared" si="9"/>
        <v>155000</v>
      </c>
      <c r="E11" s="5">
        <f t="shared" si="10"/>
        <v>4402.68</v>
      </c>
      <c r="F11" s="7">
        <f>VLOOKUP(A11,$AQ$1:$AU$14,5,0)</f>
        <v>5.1967970919706612E-2</v>
      </c>
      <c r="G11" s="7">
        <f t="shared" si="11"/>
        <v>4.4799974930781562E-2</v>
      </c>
      <c r="H11" s="7">
        <f t="shared" si="12"/>
        <v>3.5975440860215056E-2</v>
      </c>
      <c r="I11" s="5">
        <f t="shared" si="13"/>
        <v>155000</v>
      </c>
      <c r="J11" s="5">
        <f t="shared" si="14"/>
        <v>230739.03448275867</v>
      </c>
      <c r="K11" s="5">
        <f t="shared" si="15"/>
        <v>36918.24551724139</v>
      </c>
      <c r="L11" s="5">
        <f t="shared" si="16"/>
        <v>422657.28000000003</v>
      </c>
      <c r="M11" s="13"/>
      <c r="N11" s="13"/>
      <c r="AR11" s="3"/>
      <c r="AS11" s="3"/>
    </row>
    <row r="12" spans="1:49" s="1" customFormat="1" x14ac:dyDescent="0.25">
      <c r="A12" s="2">
        <v>120</v>
      </c>
      <c r="B12" s="13"/>
      <c r="C12" s="4" t="str">
        <f t="shared" ref="C12" si="17">CONCATENATE(A12," Q")</f>
        <v>120 Q</v>
      </c>
      <c r="D12" s="5">
        <f t="shared" si="9"/>
        <v>155000</v>
      </c>
      <c r="E12" s="5">
        <f t="shared" si="10"/>
        <v>4077.84</v>
      </c>
      <c r="F12" s="7">
        <f>VLOOKUP(A12,$AQ$1:$AU$14,5,0)</f>
        <v>4.9880052104908534E-2</v>
      </c>
      <c r="G12" s="7">
        <f t="shared" si="11"/>
        <v>4.3000044918024602E-2</v>
      </c>
      <c r="H12" s="7">
        <f t="shared" si="12"/>
        <v>3.5950623655913984E-2</v>
      </c>
      <c r="I12" s="5">
        <f t="shared" si="13"/>
        <v>155000</v>
      </c>
      <c r="J12" s="5">
        <f t="shared" si="14"/>
        <v>288224.82758620696</v>
      </c>
      <c r="K12" s="5">
        <f t="shared" si="15"/>
        <v>46115.972413793112</v>
      </c>
      <c r="L12" s="5">
        <f t="shared" si="16"/>
        <v>489340.80000000005</v>
      </c>
      <c r="M12" s="13"/>
      <c r="N12" s="13"/>
      <c r="AR12" s="3"/>
      <c r="AS12" s="3"/>
    </row>
    <row r="13" spans="1:49" s="1" customFormat="1" x14ac:dyDescent="0.25">
      <c r="A13" s="2"/>
      <c r="B13" s="13"/>
      <c r="C13" s="19" t="s">
        <v>7</v>
      </c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AR13" s="3"/>
      <c r="AS13" s="3"/>
    </row>
    <row r="14" spans="1:49" s="1" customFormat="1" x14ac:dyDescent="0.25">
      <c r="A14" s="2"/>
      <c r="B14" s="13"/>
      <c r="C14" s="19" t="s">
        <v>20</v>
      </c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AR14" s="3"/>
      <c r="AS14" s="3"/>
    </row>
    <row r="15" spans="1:49" s="1" customFormat="1" x14ac:dyDescent="0.25">
      <c r="A15" s="2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AR15" s="3"/>
      <c r="AS15" s="3"/>
    </row>
    <row r="16" spans="1:49" s="1" customFormat="1" x14ac:dyDescent="0.25">
      <c r="A16" s="2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AR16" s="3"/>
      <c r="AS16" s="3"/>
    </row>
    <row r="17" spans="1:45" s="1" customFormat="1" x14ac:dyDescent="0.25">
      <c r="A17" s="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AR17" s="3"/>
      <c r="AS17" s="3"/>
    </row>
    <row r="18" spans="1:45" s="1" customFormat="1" x14ac:dyDescent="0.25">
      <c r="A18" s="2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AR18" s="3"/>
      <c r="AS18" s="3"/>
    </row>
    <row r="19" spans="1:45" s="1" customFormat="1" x14ac:dyDescent="0.25">
      <c r="A19" s="2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AR19" s="3"/>
      <c r="AS19" s="3"/>
    </row>
    <row r="20" spans="1:45" s="1" customFormat="1" x14ac:dyDescent="0.25">
      <c r="A20" s="2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AR20" s="3"/>
      <c r="AS20" s="3"/>
    </row>
    <row r="21" spans="1:45" s="1" customFormat="1" x14ac:dyDescent="0.25">
      <c r="A21" s="2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AR21" s="3"/>
      <c r="AS21" s="3"/>
    </row>
    <row r="22" spans="1:45" s="1" customFormat="1" x14ac:dyDescent="0.25">
      <c r="A22" s="2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AR22" s="3"/>
      <c r="AS22" s="3"/>
    </row>
    <row r="23" spans="1:45" x14ac:dyDescent="0.25">
      <c r="A23" s="2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</row>
    <row r="24" spans="1:45" x14ac:dyDescent="0.25">
      <c r="A24" s="2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</row>
    <row r="25" spans="1:45" x14ac:dyDescent="0.25">
      <c r="A25" s="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</row>
    <row r="26" spans="1:45" x14ac:dyDescent="0.25">
      <c r="A26" s="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</row>
    <row r="27" spans="1:45" x14ac:dyDescent="0.25">
      <c r="A27" s="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</row>
    <row r="28" spans="1:45" x14ac:dyDescent="0.25">
      <c r="A28" s="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</row>
  </sheetData>
  <sheetProtection algorithmName="SHA-512" hashValue="Kqvsd2uikjHx0GIqbUa7TSSL+1/TlGzN6d6wm15eJ3ive2nReQ185Jh5Auh0IiK+WSFxdxxq0NlkhvhGy9zS6A==" saltValue="cFh+IrBJGLo4no/00gF4aQ==" spinCount="100000" sheet="1" objects="1" scenarios="1" selectLockedCells="1"/>
  <mergeCells count="6">
    <mergeCell ref="C2:D2"/>
    <mergeCell ref="E2:G2"/>
    <mergeCell ref="C3:D3"/>
    <mergeCell ref="C4:D4"/>
    <mergeCell ref="G4:J7"/>
    <mergeCell ref="C6:D6"/>
  </mergeCells>
  <dataValidations count="2">
    <dataValidation type="list" allowBlank="1" showInputMessage="1" showErrorMessage="1" sqref="E4">
      <formula1>"Monto, Capacidad"</formula1>
    </dataValidation>
    <dataValidation type="custom" allowBlank="1" showInputMessage="1" showErrorMessage="1" sqref="E6">
      <formula1>E6&gt;=0</formula1>
    </dataValidation>
  </dataValidations>
  <pageMargins left="0.7" right="0.7" top="0.75" bottom="0.75" header="0.3" footer="0.3"/>
  <pageSetup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3440-CREDITO NUEVO</vt:lpstr>
      <vt:lpstr>3441-RENOVACION MN A MN</vt:lpstr>
      <vt:lpstr>3269-INTERCOMPAÑIA MN A CSP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Mireya Tzompantzi</dc:creator>
  <cp:lastModifiedBy>lenovo</cp:lastModifiedBy>
  <dcterms:created xsi:type="dcterms:W3CDTF">2022-04-20T16:01:06Z</dcterms:created>
  <dcterms:modified xsi:type="dcterms:W3CDTF">2025-08-22T16:57:03Z</dcterms:modified>
</cp:coreProperties>
</file>