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showHorizontalScroll="0" showVerticalScroll="0" xWindow="0" yWindow="0" windowWidth="24000" windowHeight="9735"/>
  </bookViews>
  <sheets>
    <sheet name="CORRESPONSAL 2733-CREDITO NUEV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1" i="1"/>
  <c r="F10" i="1"/>
  <c r="F9" i="1"/>
  <c r="D12" i="1"/>
  <c r="D11" i="1"/>
  <c r="D10" i="1"/>
  <c r="D9" i="1"/>
  <c r="C9" i="1"/>
  <c r="AU5" i="1" l="1"/>
  <c r="AU4" i="1"/>
  <c r="AU3" i="1"/>
  <c r="AU2" i="1"/>
  <c r="I12" i="1"/>
  <c r="C12" i="1" l="1"/>
  <c r="G12" i="1" l="1"/>
  <c r="E12" i="1"/>
  <c r="L12" i="1" s="1"/>
  <c r="H12" i="1" l="1"/>
  <c r="J12" i="1"/>
  <c r="K12" i="1" s="1"/>
  <c r="C11" i="1" l="1"/>
  <c r="C10" i="1"/>
  <c r="AP2" i="1" l="1"/>
  <c r="AQ2" i="1" s="1"/>
  <c r="G9" i="1" s="1"/>
  <c r="AP3" i="1"/>
  <c r="AQ3" i="1" s="1"/>
  <c r="AP4" i="1"/>
  <c r="AQ4" i="1" s="1"/>
  <c r="AP5" i="1"/>
  <c r="AQ5" i="1" s="1"/>
  <c r="G11" i="1" l="1"/>
  <c r="AR4" i="1"/>
  <c r="AS4" i="1" s="1"/>
  <c r="G10" i="1"/>
  <c r="AR5" i="1"/>
  <c r="AS5" i="1" s="1"/>
  <c r="AR3" i="1"/>
  <c r="AS3" i="1" s="1"/>
  <c r="AR2" i="1"/>
  <c r="AS2" i="1" s="1"/>
  <c r="E9" i="1"/>
  <c r="E11" i="1" l="1"/>
  <c r="L11" i="1" s="1"/>
  <c r="E10" i="1"/>
  <c r="L10" i="1" s="1"/>
  <c r="I11" i="1"/>
  <c r="L9" i="1"/>
  <c r="R5" i="1"/>
  <c r="S5" i="1" s="1"/>
  <c r="T5" i="1" s="1"/>
  <c r="U5" i="1" s="1"/>
  <c r="R4" i="1"/>
  <c r="S4" i="1" s="1"/>
  <c r="T4" i="1" s="1"/>
  <c r="U4" i="1" s="1"/>
  <c r="R3" i="1"/>
  <c r="S3" i="1" s="1"/>
  <c r="T3" i="1" s="1"/>
  <c r="U3" i="1" s="1"/>
  <c r="R2" i="1"/>
  <c r="S2" i="1" s="1"/>
  <c r="T2" i="1" s="1"/>
  <c r="U2" i="1" s="1"/>
  <c r="H11" i="1" l="1"/>
  <c r="J11" i="1"/>
  <c r="K11" i="1" s="1"/>
  <c r="I10" i="1"/>
  <c r="H10" i="1" s="1"/>
  <c r="I9" i="1"/>
  <c r="H9" i="1" l="1"/>
  <c r="J9" i="1"/>
  <c r="K9" i="1" s="1"/>
  <c r="J10" i="1"/>
  <c r="C6" i="1"/>
  <c r="K10" i="1" l="1"/>
</calcChain>
</file>

<file path=xl/comments1.xml><?xml version="1.0" encoding="utf-8"?>
<comments xmlns="http://schemas.openxmlformats.org/spreadsheetml/2006/main">
  <authors>
    <author>lenovo</author>
  </authors>
  <commentList>
    <comment ref="F8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sharedStrings.xml><?xml version="1.0" encoding="utf-8"?>
<sst xmlns="http://schemas.openxmlformats.org/spreadsheetml/2006/main" count="35" uniqueCount="28">
  <si>
    <t xml:space="preserve">Dependencia: </t>
  </si>
  <si>
    <t>Frecuencia:</t>
  </si>
  <si>
    <t>Mensual</t>
  </si>
  <si>
    <t>Plazo</t>
  </si>
  <si>
    <t>Prestamo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</si>
  <si>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</si>
  <si>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</si>
  <si>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</si>
  <si>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</si>
  <si>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</si>
  <si>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</si>
  <si>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</si>
  <si>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PLAZO Q</t>
  </si>
  <si>
    <t>CAPITAL</t>
  </si>
  <si>
    <t>PAGO QUINCENAL</t>
  </si>
  <si>
    <t>TASA MENSUAL</t>
  </si>
  <si>
    <t>TASA QUINCENAL</t>
  </si>
  <si>
    <t>TASA SIN IVA</t>
  </si>
  <si>
    <t>TASA ANUAL</t>
  </si>
  <si>
    <t>Des. Quincenal</t>
  </si>
  <si>
    <t>*Las tasas globales e insolutas estan en terminos mensuales e incluyen el IVA.</t>
  </si>
  <si>
    <t>CAT</t>
  </si>
  <si>
    <t>CAT IVA</t>
  </si>
  <si>
    <t>Tasa C/IVA</t>
  </si>
  <si>
    <t>Tasa S/IVA</t>
  </si>
  <si>
    <t>Monto</t>
  </si>
  <si>
    <t>SNTE 14 GUERRERO/MÁS NÓMINA</t>
  </si>
  <si>
    <t>Condiciones:
24 a 96 quincenas, montos desde 5,000 hasta 1,000,000.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</si>
</sst>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-&quot;$&quot;* #,##0.0000_-;\-&quot;$&quot;* #,##0.0000_-;_-&quot;$&quot;* &quot;-&quot;??_-;_-@_-"/>
    <numFmt numFmtId="166" formatCode="[$-80A]General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6" fontId="2" fillId="0" borderId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0" fillId="4" borderId="0" xfId="0" applyFill="1" applyProtection="1"/>
    <xf numFmtId="0" fontId="0" fillId="3" borderId="0" xfId="0" applyFill="1" applyProtection="1"/>
    <xf numFmtId="44" fontId="0" fillId="4" borderId="0" xfId="0" applyNumberFormat="1" applyFill="1" applyProtection="1"/>
    <xf numFmtId="0" fontId="0" fillId="4" borderId="0" xfId="0" applyFont="1" applyFill="1" applyProtection="1"/>
    <xf numFmtId="0" fontId="0" fillId="2" borderId="0" xfId="0" applyFill="1" applyAlignment="1" applyProtection="1">
      <alignment horizontal="center"/>
    </xf>
    <xf numFmtId="44" fontId="0" fillId="2" borderId="0" xfId="0" applyNumberFormat="1" applyFill="1" applyAlignment="1" applyProtection="1">
      <alignment horizontal="center"/>
    </xf>
    <xf numFmtId="0" fontId="0" fillId="0" borderId="0" xfId="0" applyProtection="1"/>
    <xf numFmtId="10" fontId="0" fillId="2" borderId="0" xfId="0" applyNumberFormat="1" applyFill="1" applyAlignment="1" applyProtection="1">
      <alignment horizontal="center"/>
    </xf>
    <xf numFmtId="0" fontId="0" fillId="4" borderId="0" xfId="0" applyFont="1" applyFill="1" applyBorder="1" applyProtection="1"/>
    <xf numFmtId="10" fontId="0" fillId="4" borderId="0" xfId="0" applyNumberFormat="1" applyFill="1" applyProtection="1"/>
    <xf numFmtId="10" fontId="0" fillId="4" borderId="0" xfId="2" applyNumberFormat="1" applyFont="1" applyFill="1" applyProtection="1"/>
    <xf numFmtId="8" fontId="0" fillId="4" borderId="0" xfId="0" applyNumberFormat="1" applyFont="1" applyFill="1" applyProtection="1"/>
    <xf numFmtId="8" fontId="0" fillId="4" borderId="0" xfId="0" applyNumberFormat="1" applyFill="1" applyProtection="1"/>
    <xf numFmtId="0" fontId="4" fillId="4" borderId="0" xfId="0" applyFont="1" applyFill="1" applyAlignment="1" applyProtection="1">
      <alignment horizontal="center"/>
      <protection locked="0"/>
    </xf>
    <xf numFmtId="44" fontId="4" fillId="0" borderId="0" xfId="0" applyNumberFormat="1" applyFont="1" applyAlignment="1" applyProtection="1">
      <alignment horizontal="center"/>
      <protection locked="0"/>
    </xf>
    <xf numFmtId="44" fontId="0" fillId="0" borderId="0" xfId="0" applyNumberFormat="1" applyProtection="1"/>
    <xf numFmtId="0" fontId="4" fillId="4" borderId="0" xfId="0" applyFont="1" applyFill="1" applyAlignment="1" applyProtection="1">
      <alignment horizontal="center"/>
    </xf>
    <xf numFmtId="2" fontId="4" fillId="4" borderId="0" xfId="0" applyNumberFormat="1" applyFont="1" applyFill="1" applyAlignment="1" applyProtection="1">
      <alignment horizontal="center" wrapText="1"/>
    </xf>
    <xf numFmtId="0" fontId="0" fillId="5" borderId="0" xfId="0" applyFill="1" applyProtection="1"/>
    <xf numFmtId="0" fontId="1" fillId="5" borderId="0" xfId="0" applyFont="1" applyFill="1" applyAlignment="1" applyProtection="1">
      <alignment horizontal="center"/>
    </xf>
    <xf numFmtId="0" fontId="1" fillId="5" borderId="0" xfId="0" applyFont="1" applyFill="1" applyAlignment="1" applyProtection="1">
      <alignment horizontal="center"/>
    </xf>
    <xf numFmtId="2" fontId="0" fillId="5" borderId="0" xfId="0" applyNumberFormat="1" applyFill="1" applyProtection="1"/>
    <xf numFmtId="10" fontId="0" fillId="5" borderId="0" xfId="0" applyNumberFormat="1" applyFill="1" applyProtection="1"/>
    <xf numFmtId="164" fontId="0" fillId="5" borderId="0" xfId="0" applyNumberFormat="1" applyFill="1" applyProtection="1"/>
    <xf numFmtId="44" fontId="0" fillId="5" borderId="0" xfId="0" applyNumberFormat="1" applyFill="1" applyProtection="1"/>
    <xf numFmtId="165" fontId="0" fillId="5" borderId="0" xfId="0" applyNumberFormat="1" applyFill="1" applyProtection="1"/>
    <xf numFmtId="0" fontId="5" fillId="5" borderId="0" xfId="0" applyFont="1" applyFill="1" applyProtection="1"/>
    <xf numFmtId="0" fontId="1" fillId="6" borderId="0" xfId="0" applyFont="1" applyFill="1" applyAlignment="1" applyProtection="1">
      <alignment horizontal="center"/>
    </xf>
  </cellXfs>
  <cellStyles count="3">
    <cellStyle name="Excel Built-in Normal" xfId="1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30</xdr:row>
      <xdr:rowOff>94593</xdr:rowOff>
    </xdr:from>
    <xdr:to>
      <xdr:col>12</xdr:col>
      <xdr:colOff>0</xdr:colOff>
      <xdr:row>31</xdr:row>
      <xdr:rowOff>147144</xdr:rowOff>
    </xdr:to>
    <xdr:sp macro="" textlink="">
      <xdr:nvSpPr>
        <xdr:cNvPr id="50" name="Rectángulo 49"/>
        <xdr:cNvSpPr/>
      </xdr:nvSpPr>
      <xdr:spPr>
        <a:xfrm>
          <a:off x="9216259" y="6184024"/>
          <a:ext cx="1668517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29"/>
  <sheetViews>
    <sheetView showGridLines="0" tabSelected="1" topLeftCell="B1" zoomScale="130" zoomScaleNormal="130" workbookViewId="0">
      <selection activeCell="E4" sqref="E4"/>
    </sheetView>
  </sheetViews>
  <sheetFormatPr baseColWidth="10" defaultRowHeight="15" x14ac:dyDescent="0.25"/>
  <cols>
    <col min="1" max="1" width="3.28515625" style="7" hidden="1" customWidth="1"/>
    <col min="2" max="2" width="4.42578125" style="7" customWidth="1"/>
    <col min="3" max="3" width="11.42578125" style="7"/>
    <col min="4" max="4" width="15.140625" style="7" customWidth="1"/>
    <col min="5" max="5" width="14.140625" style="7" bestFit="1" customWidth="1"/>
    <col min="6" max="6" width="13.5703125" style="7" bestFit="1" customWidth="1"/>
    <col min="7" max="7" width="11.140625" style="7" bestFit="1" customWidth="1"/>
    <col min="8" max="8" width="14.42578125" style="7" bestFit="1" customWidth="1"/>
    <col min="9" max="12" width="14.85546875" style="7" customWidth="1"/>
    <col min="13" max="14" width="11.42578125" style="7"/>
    <col min="15" max="20" width="0" style="7" hidden="1" customWidth="1"/>
    <col min="21" max="21" width="13.140625" style="7" hidden="1" customWidth="1"/>
    <col min="22" max="38" width="11.42578125" style="7"/>
    <col min="39" max="39" width="8.5703125" style="7" bestFit="1" customWidth="1"/>
    <col min="40" max="40" width="15" style="16" bestFit="1" customWidth="1"/>
    <col min="41" max="41" width="17.140625" style="16" bestFit="1" customWidth="1"/>
    <col min="42" max="42" width="16.5703125" style="7" bestFit="1" customWidth="1"/>
    <col min="43" max="43" width="14.5703125" style="7" bestFit="1" customWidth="1"/>
    <col min="44" max="44" width="12.5703125" style="7" bestFit="1" customWidth="1"/>
    <col min="45" max="45" width="12.140625" style="7" bestFit="1" customWidth="1"/>
    <col min="46" max="16384" width="11.42578125" style="7"/>
  </cols>
  <sheetData>
    <row r="1" spans="1:47" s="1" customFormat="1" x14ac:dyDescent="0.25">
      <c r="A1" s="2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4" t="s">
        <v>12</v>
      </c>
      <c r="P1" s="1" t="s">
        <v>13</v>
      </c>
      <c r="Q1" s="1" t="s">
        <v>14</v>
      </c>
      <c r="R1" s="1" t="s">
        <v>16</v>
      </c>
      <c r="S1" s="1" t="s">
        <v>15</v>
      </c>
      <c r="T1" s="1" t="s">
        <v>17</v>
      </c>
      <c r="U1" s="1" t="s">
        <v>18</v>
      </c>
      <c r="AM1" s="4" t="s">
        <v>12</v>
      </c>
      <c r="AN1" s="1" t="s">
        <v>13</v>
      </c>
      <c r="AO1" s="1" t="s">
        <v>14</v>
      </c>
      <c r="AP1" s="1" t="s">
        <v>16</v>
      </c>
      <c r="AQ1" s="1" t="s">
        <v>15</v>
      </c>
      <c r="AR1" s="1" t="s">
        <v>17</v>
      </c>
      <c r="AS1" s="1" t="s">
        <v>18</v>
      </c>
      <c r="AT1" s="1" t="s">
        <v>21</v>
      </c>
      <c r="AU1" s="1" t="s">
        <v>22</v>
      </c>
    </row>
    <row r="2" spans="1:47" s="1" customFormat="1" x14ac:dyDescent="0.25">
      <c r="A2" s="2"/>
      <c r="B2" s="19"/>
      <c r="C2" s="20" t="s">
        <v>0</v>
      </c>
      <c r="D2" s="20"/>
      <c r="E2" s="17" t="s">
        <v>26</v>
      </c>
      <c r="F2" s="17"/>
      <c r="G2" s="17"/>
      <c r="H2" s="19"/>
      <c r="I2" s="19"/>
      <c r="J2" s="19"/>
      <c r="K2" s="19"/>
      <c r="L2" s="19"/>
      <c r="M2" s="19"/>
      <c r="N2" s="19"/>
      <c r="O2" s="9">
        <v>24</v>
      </c>
      <c r="P2" s="12">
        <v>497000</v>
      </c>
      <c r="Q2" s="13">
        <v>25850.25</v>
      </c>
      <c r="R2" s="10">
        <f>RATE(O2,-Q2,P2,0,0)</f>
        <v>1.8560002435494275E-2</v>
      </c>
      <c r="S2" s="11">
        <f>R2*2</f>
        <v>3.712000487098855E-2</v>
      </c>
      <c r="T2" s="11">
        <f>S2/1.16</f>
        <v>3.200000419912806E-2</v>
      </c>
      <c r="U2" s="11">
        <f>T2*12</f>
        <v>0.38400005038953672</v>
      </c>
      <c r="AM2" s="1">
        <v>24</v>
      </c>
      <c r="AN2" s="3">
        <v>1000000</v>
      </c>
      <c r="AO2" s="3">
        <v>55090.9</v>
      </c>
      <c r="AP2" s="10">
        <f t="shared" ref="AP2:AP6" si="0">RATE(AM2,-AO2,AN2,0,0)</f>
        <v>2.3664001474795256E-2</v>
      </c>
      <c r="AQ2" s="10">
        <f>AP2*2</f>
        <v>4.7328002949590511E-2</v>
      </c>
      <c r="AR2" s="10">
        <f>AQ2/1.16</f>
        <v>4.0800002542750444E-2</v>
      </c>
      <c r="AS2" s="10">
        <f>AR2*12</f>
        <v>0.48960003051300532</v>
      </c>
      <c r="AT2" s="10">
        <v>0.624</v>
      </c>
      <c r="AU2" s="10">
        <f>AT2*1.16</f>
        <v>0.72383999999999993</v>
      </c>
    </row>
    <row r="3" spans="1:47" s="1" customFormat="1" x14ac:dyDescent="0.25">
      <c r="A3" s="2"/>
      <c r="B3" s="19"/>
      <c r="C3" s="20" t="s">
        <v>1</v>
      </c>
      <c r="D3" s="20"/>
      <c r="E3" s="21" t="s">
        <v>2</v>
      </c>
      <c r="F3" s="19"/>
      <c r="G3" s="19"/>
      <c r="H3" s="19"/>
      <c r="I3" s="19"/>
      <c r="J3" s="19"/>
      <c r="K3" s="19"/>
      <c r="L3" s="19"/>
      <c r="M3" s="19"/>
      <c r="N3" s="19"/>
      <c r="O3" s="9">
        <v>48</v>
      </c>
      <c r="P3" s="12">
        <v>497000</v>
      </c>
      <c r="Q3" s="12">
        <v>15732</v>
      </c>
      <c r="R3" s="10">
        <f t="shared" ref="R3:R5" si="1">RATE(O3,-Q3,P3,0,0)</f>
        <v>1.8559989355188038E-2</v>
      </c>
      <c r="S3" s="11">
        <f t="shared" ref="S3:S5" si="2">R3*2</f>
        <v>3.7119978710376075E-2</v>
      </c>
      <c r="T3" s="11">
        <f t="shared" ref="T3:T5" si="3">S3/1.16</f>
        <v>3.1999981646875932E-2</v>
      </c>
      <c r="U3" s="11">
        <f t="shared" ref="U3:U5" si="4">T3*12</f>
        <v>0.38399977976251121</v>
      </c>
      <c r="AM3" s="1">
        <v>48</v>
      </c>
      <c r="AN3" s="3">
        <v>1000000</v>
      </c>
      <c r="AO3" s="3">
        <v>34482.81</v>
      </c>
      <c r="AP3" s="10">
        <f t="shared" si="0"/>
        <v>2.2793993448567924E-2</v>
      </c>
      <c r="AQ3" s="10">
        <f t="shared" ref="AQ3:AQ6" si="5">AP3*2</f>
        <v>4.5587986897135849E-2</v>
      </c>
      <c r="AR3" s="10">
        <f t="shared" ref="AR3:AR6" si="6">AQ3/1.16</f>
        <v>3.9299988704427462E-2</v>
      </c>
      <c r="AS3" s="10">
        <f t="shared" ref="AS3:AS6" si="7">AR3*12</f>
        <v>0.47159986445312951</v>
      </c>
      <c r="AT3" s="10">
        <v>0.59499999999999997</v>
      </c>
      <c r="AU3" s="10">
        <f t="shared" ref="AU3:AU9" si="8">AT3*1.16</f>
        <v>0.69019999999999992</v>
      </c>
    </row>
    <row r="4" spans="1:47" s="1" customFormat="1" ht="15" customHeight="1" x14ac:dyDescent="0.25">
      <c r="A4" s="2"/>
      <c r="B4" s="19"/>
      <c r="C4" s="20" t="s">
        <v>8</v>
      </c>
      <c r="D4" s="20"/>
      <c r="E4" s="14" t="s">
        <v>25</v>
      </c>
      <c r="F4" s="19"/>
      <c r="G4" s="18" t="s">
        <v>27</v>
      </c>
      <c r="H4" s="18"/>
      <c r="I4" s="18"/>
      <c r="J4" s="19"/>
      <c r="K4" s="19"/>
      <c r="L4" s="19"/>
      <c r="M4" s="19"/>
      <c r="N4" s="19"/>
      <c r="O4" s="9">
        <v>72</v>
      </c>
      <c r="P4" s="12">
        <v>497000</v>
      </c>
      <c r="Q4" s="12">
        <v>12568.05</v>
      </c>
      <c r="R4" s="10">
        <f t="shared" si="1"/>
        <v>1.855999177746296E-2</v>
      </c>
      <c r="S4" s="11">
        <f t="shared" si="2"/>
        <v>3.711998355492592E-2</v>
      </c>
      <c r="T4" s="11">
        <f t="shared" si="3"/>
        <v>3.1999985823212E-2</v>
      </c>
      <c r="U4" s="11">
        <f t="shared" si="4"/>
        <v>0.38399982987854397</v>
      </c>
      <c r="AM4" s="1">
        <v>72</v>
      </c>
      <c r="AN4" s="3">
        <v>1000000</v>
      </c>
      <c r="AO4" s="3">
        <v>27271.45</v>
      </c>
      <c r="AP4" s="10">
        <f t="shared" si="0"/>
        <v>2.1285996022849418E-2</v>
      </c>
      <c r="AQ4" s="10">
        <f t="shared" si="5"/>
        <v>4.2571992045698837E-2</v>
      </c>
      <c r="AR4" s="10">
        <f t="shared" si="6"/>
        <v>3.6699993142843827E-2</v>
      </c>
      <c r="AS4" s="10">
        <f t="shared" si="7"/>
        <v>0.4403999177141259</v>
      </c>
      <c r="AT4" s="10">
        <v>0.54700000000000004</v>
      </c>
      <c r="AU4" s="10">
        <f t="shared" si="8"/>
        <v>0.63451999999999997</v>
      </c>
    </row>
    <row r="5" spans="1:47" s="1" customFormat="1" x14ac:dyDescent="0.25">
      <c r="A5" s="2"/>
      <c r="B5" s="19"/>
      <c r="C5" s="19"/>
      <c r="D5" s="19"/>
      <c r="E5" s="19"/>
      <c r="F5" s="19"/>
      <c r="G5" s="18"/>
      <c r="H5" s="18"/>
      <c r="I5" s="18"/>
      <c r="J5" s="19"/>
      <c r="K5" s="19"/>
      <c r="L5" s="19"/>
      <c r="M5" s="19"/>
      <c r="N5" s="19"/>
      <c r="O5" s="9">
        <v>96</v>
      </c>
      <c r="P5" s="12">
        <v>497000</v>
      </c>
      <c r="Q5" s="12">
        <v>11128.57</v>
      </c>
      <c r="R5" s="10">
        <f t="shared" si="1"/>
        <v>1.8559997634293605E-2</v>
      </c>
      <c r="S5" s="11">
        <f t="shared" si="2"/>
        <v>3.7119995268587211E-2</v>
      </c>
      <c r="T5" s="11">
        <f t="shared" si="3"/>
        <v>3.1999995921195873E-2</v>
      </c>
      <c r="U5" s="11">
        <f t="shared" si="4"/>
        <v>0.38399995105435047</v>
      </c>
      <c r="AM5" s="1">
        <v>96</v>
      </c>
      <c r="AN5" s="3">
        <v>1000000</v>
      </c>
      <c r="AO5" s="3">
        <v>23566.66</v>
      </c>
      <c r="AP5" s="10">
        <f t="shared" si="0"/>
        <v>2.0067995012336925E-2</v>
      </c>
      <c r="AQ5" s="10">
        <f t="shared" si="5"/>
        <v>4.013599002467385E-2</v>
      </c>
      <c r="AR5" s="10">
        <f t="shared" si="6"/>
        <v>3.4599991400580905E-2</v>
      </c>
      <c r="AS5" s="10">
        <f t="shared" si="7"/>
        <v>0.41519989680697089</v>
      </c>
      <c r="AT5" s="10">
        <v>0.50900000000000001</v>
      </c>
      <c r="AU5" s="10">
        <f t="shared" si="8"/>
        <v>0.59043999999999996</v>
      </c>
    </row>
    <row r="6" spans="1:47" s="1" customFormat="1" x14ac:dyDescent="0.25">
      <c r="A6" s="2"/>
      <c r="B6" s="19"/>
      <c r="C6" s="20" t="str">
        <f>IF(E4="MONTO","Ingrese el Monto:","Ingrese la capacidad:")</f>
        <v>Ingrese el Monto:</v>
      </c>
      <c r="D6" s="20"/>
      <c r="E6" s="15">
        <v>155000</v>
      </c>
      <c r="F6" s="19"/>
      <c r="G6" s="18"/>
      <c r="H6" s="18"/>
      <c r="I6" s="18"/>
      <c r="J6" s="25"/>
      <c r="K6" s="26"/>
      <c r="L6" s="19"/>
      <c r="M6" s="19"/>
      <c r="N6" s="19"/>
      <c r="O6" s="4"/>
      <c r="P6" s="4"/>
      <c r="Q6" s="4"/>
      <c r="AN6" s="3"/>
      <c r="AO6" s="3"/>
      <c r="AP6" s="10"/>
      <c r="AQ6" s="10"/>
      <c r="AR6" s="10"/>
      <c r="AS6" s="10"/>
      <c r="AT6" s="10"/>
      <c r="AU6" s="10"/>
    </row>
    <row r="7" spans="1:47" s="1" customFormat="1" x14ac:dyDescent="0.25">
      <c r="A7" s="2"/>
      <c r="B7" s="19"/>
      <c r="C7" s="19"/>
      <c r="D7" s="19"/>
      <c r="E7" s="19"/>
      <c r="F7" s="22"/>
      <c r="G7" s="22"/>
      <c r="H7" s="23"/>
      <c r="I7" s="24"/>
      <c r="J7" s="19"/>
      <c r="K7" s="19"/>
      <c r="L7" s="19"/>
      <c r="M7" s="19"/>
      <c r="N7" s="19"/>
      <c r="AN7" s="3"/>
      <c r="AO7" s="3"/>
      <c r="AP7" s="10"/>
      <c r="AQ7" s="10"/>
      <c r="AR7" s="10"/>
      <c r="AS7" s="10"/>
      <c r="AT7" s="10"/>
      <c r="AU7" s="10"/>
    </row>
    <row r="8" spans="1:47" s="1" customFormat="1" x14ac:dyDescent="0.25">
      <c r="A8" s="2"/>
      <c r="B8" s="19"/>
      <c r="C8" s="28" t="s">
        <v>3</v>
      </c>
      <c r="D8" s="28" t="s">
        <v>4</v>
      </c>
      <c r="E8" s="28" t="s">
        <v>19</v>
      </c>
      <c r="F8" s="28" t="s">
        <v>23</v>
      </c>
      <c r="G8" s="28" t="s">
        <v>24</v>
      </c>
      <c r="H8" s="28" t="s">
        <v>9</v>
      </c>
      <c r="I8" s="28" t="s">
        <v>6</v>
      </c>
      <c r="J8" s="28" t="s">
        <v>10</v>
      </c>
      <c r="K8" s="28" t="s">
        <v>11</v>
      </c>
      <c r="L8" s="28" t="s">
        <v>5</v>
      </c>
      <c r="M8" s="19"/>
      <c r="N8" s="19"/>
      <c r="AN8" s="3"/>
      <c r="AO8" s="3"/>
      <c r="AP8" s="10"/>
      <c r="AQ8" s="10"/>
      <c r="AR8" s="10"/>
      <c r="AS8" s="10"/>
      <c r="AT8" s="10"/>
      <c r="AU8" s="10"/>
    </row>
    <row r="9" spans="1:47" s="1" customFormat="1" x14ac:dyDescent="0.25">
      <c r="A9" s="2">
        <v>24</v>
      </c>
      <c r="B9" s="19"/>
      <c r="C9" s="5" t="str">
        <f>CONCATENATE(A9," Q")</f>
        <v>24 Q</v>
      </c>
      <c r="D9" s="6">
        <f>IF(IF($E$4="MONTO",IF((IF(MOD($E$6,500)=0,$E$6,$E$6-MOD($E$6,500)))&gt;1000000,1000000,IF(MOD($E$6,500)=0,$E$6,$E$6-MOD($E$6,500))),IF(((1-(1+(F9/2))^(-A9))/((F9/2)))*$E$6&gt;1000000,1000000,IF(MOD(((1-(1+(F9/2))^(-A9))/(F9))*$E$6,500)=0,((1-(1+(F9/2))^(-A9))/((F9/2)))*$E$6,((1-(1+(F9/2))^(-A9))/((F9/2)))*$E$6-MOD(((1-(1+(F9/2))^(-A9))/((F9/2)))*$E$6,500))))&lt;5000,0,
IF($E$4="MONTO",IF((IF(MOD($E$6,500)=0,$E$6,$E$6-MOD($E$6,500)))&gt;1000000,1000000,IF(MOD($E$6,500)=0,$E$6,$E$6-MOD($E$6,500))),IF(((1-(1+(F9/2))^(-A9))/((F9/2)))*$E$6&gt;1000000,1000000,IF(MOD(((1-(1+(F9/2))^(-A9))/(F9))*$E$6,500)=0,((1-(1+(F9/2))^(-A9))/((F9/2)))*$E$6,((1-(1+(F9/2))^(-A9))/((F9/2)))*$E$6-MOD(((1-(1+(F9/2))^(-A9))/((F9/2)))*$E$6,500)))))</f>
        <v>155000</v>
      </c>
      <c r="E9" s="6">
        <f>-PMT(F9/2,A9,D9,,0)</f>
        <v>8539.0895000000201</v>
      </c>
      <c r="F9" s="8">
        <f>VLOOKUP(A9,$AM$1:$AQ$6,5,0)</f>
        <v>4.7328002949590511E-2</v>
      </c>
      <c r="G9" s="8">
        <f>F9/1.16</f>
        <v>4.0800002542750444E-2</v>
      </c>
      <c r="H9" s="8">
        <f>IFERROR(((L9-I9)/I9)/(A9/2),0)</f>
        <v>2.6848466666666928E-2</v>
      </c>
      <c r="I9" s="6">
        <f>D9</f>
        <v>155000</v>
      </c>
      <c r="J9" s="6">
        <f t="shared" ref="J9:J11" si="9">(L9-I9)/1.16</f>
        <v>43050.127586207316</v>
      </c>
      <c r="K9" s="6">
        <f t="shared" ref="K9:K11" si="10">J9*16%</f>
        <v>6888.0204137931705</v>
      </c>
      <c r="L9" s="6">
        <f>E9*A9</f>
        <v>204938.14800000048</v>
      </c>
      <c r="M9" s="19"/>
      <c r="N9" s="19"/>
      <c r="AN9" s="3"/>
      <c r="AO9" s="3"/>
      <c r="AP9" s="10"/>
      <c r="AQ9" s="10"/>
      <c r="AR9" s="10"/>
      <c r="AS9" s="10"/>
      <c r="AT9" s="10"/>
      <c r="AU9" s="10"/>
    </row>
    <row r="10" spans="1:47" s="1" customFormat="1" x14ac:dyDescent="0.25">
      <c r="A10" s="2">
        <v>48</v>
      </c>
      <c r="B10" s="19"/>
      <c r="C10" s="5" t="str">
        <f t="shared" ref="C10:C11" si="11">CONCATENATE(A10," Q")</f>
        <v>48 Q</v>
      </c>
      <c r="D10" s="6">
        <f>IF(IF($E$4="MONTO",IF((IF(MOD($E$6,500)=0,$E$6,$E$6-MOD($E$6,500)))&gt;1000000,1000000,IF(MOD($E$6,500)=0,$E$6,$E$6-MOD($E$6,500))),IF(((1-(1+(F10/2))^(-A10))/((F10/2)))*$E$6&gt;1000000,1000000,IF(MOD(((1-(1+(F10/2))^(-A10))/(F10))*$E$6,500)=0,((1-(1+(F10/2))^(-A10))/((F10/2)))*$E$6,((1-(1+(F10/2))^(-A10))/((F10/2)))*$E$6-MOD(((1-(1+(F10/2))^(-A10))/((F10/2)))*$E$6,500))))&lt;5000,0,
IF($E$4="MONTO",IF((IF(MOD($E$6,500)=0,$E$6,$E$6-MOD($E$6,500)))&gt;1000000,1000000,IF(MOD($E$6,500)=0,$E$6,$E$6-MOD($E$6,500))),IF(((1-(1+(F10/2))^(-A10))/((F10/2)))*$E$6&gt;1000000,1000000,IF(MOD(((1-(1+(F10/2))^(-A10))/(F10))*$E$6,500)=0,((1-(1+(F10/2))^(-A10))/((F10/2)))*$E$6,((1-(1+(F10/2))^(-A10))/((F10/2)))*$E$6-MOD(((1-(1+(F10/2))^(-A10))/((F10/2)))*$E$6,500)))))</f>
        <v>155000</v>
      </c>
      <c r="E10" s="6">
        <f t="shared" ref="E10:E11" si="12">-PMT(F10/2,A10,D10,,0)</f>
        <v>5344.8355500000189</v>
      </c>
      <c r="F10" s="8">
        <f t="shared" ref="F10:F12" si="13">VLOOKUP(A10,$AM$1:$AQ$6,5,0)</f>
        <v>4.5587986897135849E-2</v>
      </c>
      <c r="G10" s="8">
        <f t="shared" ref="G10:G11" si="14">F10/1.16</f>
        <v>3.9299988704427462E-2</v>
      </c>
      <c r="H10" s="8">
        <f>IFERROR(((L10-I10)/I10)/(A10/2),0)</f>
        <v>2.729895333333358E-2</v>
      </c>
      <c r="I10" s="6">
        <f>D10</f>
        <v>155000</v>
      </c>
      <c r="J10" s="6">
        <f t="shared" si="9"/>
        <v>87544.919310345635</v>
      </c>
      <c r="K10" s="6">
        <f t="shared" si="10"/>
        <v>14007.187089655301</v>
      </c>
      <c r="L10" s="6">
        <f>E10*A10</f>
        <v>256552.10640000092</v>
      </c>
      <c r="M10" s="19"/>
      <c r="N10" s="19"/>
      <c r="AN10" s="3"/>
      <c r="AO10" s="3"/>
      <c r="AP10" s="10"/>
      <c r="AQ10" s="10"/>
      <c r="AR10" s="10"/>
      <c r="AS10" s="10"/>
    </row>
    <row r="11" spans="1:47" s="1" customFormat="1" x14ac:dyDescent="0.25">
      <c r="A11" s="2">
        <v>72</v>
      </c>
      <c r="B11" s="19"/>
      <c r="C11" s="5" t="str">
        <f t="shared" si="11"/>
        <v>72 Q</v>
      </c>
      <c r="D11" s="6">
        <f>IF(IF($E$4="MONTO",IF((IF(MOD($E$6,500)=0,$E$6,$E$6-MOD($E$6,500)))&gt;1000000,1000000,IF(MOD($E$6,500)=0,$E$6,$E$6-MOD($E$6,500))),IF(((1-(1+(F11/2))^(-A11))/((F11/2)))*$E$6&gt;1000000,1000000,IF(MOD(((1-(1+(F11/2))^(-A11))/(F11))*$E$6,500)=0,((1-(1+(F11/2))^(-A11))/((F11/2)))*$E$6,((1-(1+(F11/2))^(-A11))/((F11/2)))*$E$6-MOD(((1-(1+(F11/2))^(-A11))/((F11/2)))*$E$6,500))))&lt;5000,0,
IF($E$4="MONTO",IF((IF(MOD($E$6,500)=0,$E$6,$E$6-MOD($E$6,500)))&gt;1000000,1000000,IF(MOD($E$6,500)=0,$E$6,$E$6-MOD($E$6,500))),IF(((1-(1+(F11/2))^(-A11))/((F11/2)))*$E$6&gt;1000000,1000000,IF(MOD(((1-(1+(F11/2))^(-A11))/(F11))*$E$6,500)=0,((1-(1+(F11/2))^(-A11))/((F11/2)))*$E$6,((1-(1+(F11/2))^(-A11))/((F11/2)))*$E$6-MOD(((1-(1+(F11/2))^(-A11))/((F11/2)))*$E$6,500)))))</f>
        <v>155000</v>
      </c>
      <c r="E11" s="6">
        <f t="shared" si="12"/>
        <v>4227.0747499999952</v>
      </c>
      <c r="F11" s="8">
        <f t="shared" si="13"/>
        <v>4.2571992045698837E-2</v>
      </c>
      <c r="G11" s="8">
        <f t="shared" si="14"/>
        <v>3.6699993142843827E-2</v>
      </c>
      <c r="H11" s="8">
        <f>IFERROR(((L11-I11)/I11)/(A11/2),0)</f>
        <v>2.6765122222222156E-2</v>
      </c>
      <c r="I11" s="6">
        <f>D11</f>
        <v>155000</v>
      </c>
      <c r="J11" s="6">
        <f t="shared" si="9"/>
        <v>128749.46724137901</v>
      </c>
      <c r="K11" s="6">
        <f t="shared" si="10"/>
        <v>20599.914758620642</v>
      </c>
      <c r="L11" s="6">
        <f>E11*A11</f>
        <v>304349.38199999963</v>
      </c>
      <c r="M11" s="19"/>
      <c r="N11" s="19"/>
      <c r="AN11" s="3"/>
      <c r="AO11" s="3"/>
    </row>
    <row r="12" spans="1:47" s="1" customFormat="1" x14ac:dyDescent="0.25">
      <c r="A12" s="2">
        <v>96</v>
      </c>
      <c r="B12" s="19"/>
      <c r="C12" s="5" t="str">
        <f t="shared" ref="C12" si="15">CONCATENATE(A12," Q")</f>
        <v>96 Q</v>
      </c>
      <c r="D12" s="6">
        <f>IF(IF($E$4="MONTO",IF((IF(MOD($E$6,500)=0,$E$6,$E$6-MOD($E$6,500)))&gt;1000000,1000000,IF(MOD($E$6,500)=0,$E$6,$E$6-MOD($E$6,500))),IF(((1-(1+(F12/2))^(-A12))/((F12/2)))*$E$6&gt;1000000,1000000,IF(MOD(((1-(1+(F12/2))^(-A12))/(F12))*$E$6,500)=0,((1-(1+(F12/2))^(-A12))/((F12/2)))*$E$6,((1-(1+(F12/2))^(-A12))/((F12/2)))*$E$6-MOD(((1-(1+(F12/2))^(-A12))/((F12/2)))*$E$6,500))))&lt;5000,0,
IF($E$4="MONTO",IF((IF(MOD($E$6,500)=0,$E$6,$E$6-MOD($E$6,500)))&gt;1000000,1000000,IF(MOD($E$6,500)=0,$E$6,$E$6-MOD($E$6,500))),IF(((1-(1+(F12/2))^(-A12))/((F12/2)))*$E$6&gt;1000000,1000000,IF(MOD(((1-(1+(F12/2))^(-A12))/(F12))*$E$6,500)=0,((1-(1+(F12/2))^(-A12))/((F12/2)))*$E$6,((1-(1+(F12/2))^(-A12))/((F12/2)))*$E$6-MOD(((1-(1+(F12/2))^(-A12))/((F12/2)))*$E$6,500)))))</f>
        <v>155000</v>
      </c>
      <c r="E12" s="6">
        <f t="shared" ref="E12" si="16">-PMT(F12/2,A12,D12,,0)</f>
        <v>3652.8322999999932</v>
      </c>
      <c r="F12" s="8">
        <f t="shared" si="13"/>
        <v>4.013599002467385E-2</v>
      </c>
      <c r="G12" s="8">
        <f t="shared" ref="G12" si="17">F12/1.16</f>
        <v>3.4599991400580905E-2</v>
      </c>
      <c r="H12" s="8">
        <f t="shared" ref="H12" si="18">IFERROR(((L12-I12)/I12)/(A12/2),0)</f>
        <v>2.629998666666658E-2</v>
      </c>
      <c r="I12" s="6">
        <f t="shared" ref="I12" si="19">D12</f>
        <v>155000</v>
      </c>
      <c r="J12" s="6">
        <f t="shared" ref="J12" si="20">(L12-I12)/1.16</f>
        <v>168682.67310344774</v>
      </c>
      <c r="K12" s="6">
        <f t="shared" ref="K12" si="21">J12*16%</f>
        <v>26989.227696551639</v>
      </c>
      <c r="L12" s="6">
        <f t="shared" ref="L12" si="22">E12*A12</f>
        <v>350671.90079999936</v>
      </c>
      <c r="M12" s="19"/>
      <c r="N12" s="19"/>
      <c r="AN12" s="3"/>
      <c r="AO12" s="3"/>
    </row>
    <row r="13" spans="1:47" s="1" customFormat="1" x14ac:dyDescent="0.25">
      <c r="A13" s="2"/>
      <c r="B13" s="19"/>
      <c r="C13" s="27" t="s">
        <v>7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AN13" s="3"/>
      <c r="AO13" s="3"/>
    </row>
    <row r="14" spans="1:47" s="1" customFormat="1" x14ac:dyDescent="0.25">
      <c r="A14" s="2"/>
      <c r="B14" s="19"/>
      <c r="C14" s="27" t="s">
        <v>20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AN14" s="3"/>
      <c r="AO14" s="3"/>
    </row>
    <row r="15" spans="1:47" s="1" customFormat="1" x14ac:dyDescent="0.25">
      <c r="A15" s="2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AN15" s="3"/>
      <c r="AO15" s="3"/>
    </row>
    <row r="16" spans="1:47" s="1" customFormat="1" x14ac:dyDescent="0.25">
      <c r="A16" s="2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AN16" s="3"/>
      <c r="AO16" s="3"/>
    </row>
    <row r="17" spans="1:41" s="1" customFormat="1" x14ac:dyDescent="0.25">
      <c r="A17" s="2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AN17" s="3"/>
      <c r="AO17" s="3"/>
    </row>
    <row r="18" spans="1:41" s="1" customFormat="1" x14ac:dyDescent="0.25">
      <c r="A18" s="2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AN18" s="3"/>
      <c r="AO18" s="3"/>
    </row>
    <row r="19" spans="1:41" s="1" customFormat="1" x14ac:dyDescent="0.25">
      <c r="A19" s="2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AN19" s="3"/>
      <c r="AO19" s="3"/>
    </row>
    <row r="20" spans="1:41" s="1" customFormat="1" x14ac:dyDescent="0.25">
      <c r="A20" s="2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AN20" s="3"/>
      <c r="AO20" s="3"/>
    </row>
    <row r="21" spans="1:41" s="1" customFormat="1" x14ac:dyDescent="0.25">
      <c r="A21" s="2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AN21" s="3"/>
      <c r="AO21" s="3"/>
    </row>
    <row r="22" spans="1:41" s="1" customFormat="1" x14ac:dyDescent="0.25">
      <c r="A22" s="2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AN22" s="3"/>
      <c r="AO22" s="3"/>
    </row>
    <row r="23" spans="1:41" x14ac:dyDescent="0.25">
      <c r="A23" s="2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41" x14ac:dyDescent="0.25">
      <c r="A24" s="2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41" x14ac:dyDescent="0.25">
      <c r="A25" s="2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41" x14ac:dyDescent="0.25">
      <c r="A26" s="2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41" x14ac:dyDescent="0.25">
      <c r="A27" s="2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41" x14ac:dyDescent="0.25">
      <c r="A28" s="2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1:41" x14ac:dyDescent="0.25">
      <c r="A29" s="2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</sheetData>
  <sheetProtection algorithmName="SHA-512" hashValue="iSIb1zkbLEoKB1JSLVqoDHc6ccQtw7+16uiuJ4BGsEzGEscK0NnmGAIwRG96KYh0uGfAkLOmICHn4+WpkTDoJg==" saltValue="b3tCsdMHeqA0dYuoZGYHYA==" spinCount="100000" sheet="1" objects="1" scenarios="1" selectLockedCells="1"/>
  <mergeCells count="6">
    <mergeCell ref="C2:D2"/>
    <mergeCell ref="C3:D3"/>
    <mergeCell ref="C4:D4"/>
    <mergeCell ref="C6:D6"/>
    <mergeCell ref="E2:G2"/>
    <mergeCell ref="G4:I6"/>
  </mergeCells>
  <dataValidations count="2">
    <dataValidation type="list" allowBlank="1" showInputMessage="1" showErrorMessage="1" sqref="E4">
      <formula1>"Monto, Capacidad"</formula1>
    </dataValidation>
    <dataValidation type="custom" allowBlank="1" showInputMessage="1" showErrorMessage="1" sqref="E6">
      <formula1>E6&gt;=0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CORRESPONSAL 2733-CREDITO NUEVO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dcterms:created xsi:type="dcterms:W3CDTF">2022-04-20T16:01:06Z</dcterms:created>
  <dcterms:modified xsi:type="dcterms:W3CDTF">2025-08-20T00:34:58Z</dcterms:modified>
</cp:coreProperties>
</file>