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47D25382-59B0-432B-9CEC-09738499787E}" xr6:coauthVersionLast="47" xr6:coauthVersionMax="47" xr10:uidLastSave="{00000000-0000-0000-0000-000000000000}"/>
  <bookViews>
    <workbookView showHorizontalScroll="0" showVerticalScroll="0" xWindow="-120" yWindow="-120" windowWidth="20760" windowHeight="11040" xr2:uid="{00000000-000D-0000-FFFF-FFFF00000000}"/>
  </bookViews>
  <sheets>
    <sheet name="CREDITO NUEVO 2.69% CAT 44.58%" sheetId="2" r:id="rId1"/>
    <sheet name="COMPRA 2.71% CAT 45%" sheetId="7" r:id="rId2"/>
    <sheet name="COMPRA 2.50% CAT 41%" sheetId="1" r:id="rId3"/>
    <sheet name="COMPRA 2.37% CAT 38.5%" sheetId="8" r:id="rId4"/>
    <sheet name="COMPRA 2.29% CAT 37%" sheetId="5" r:id="rId5"/>
    <sheet name="TEMPORALCOMPRA 2.21% CAT 35.50%" sheetId="9" r:id="rId6"/>
    <sheet name="COMPRA 2.02% CAT 32%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0" l="1"/>
  <c r="I15" i="10" s="1"/>
  <c r="C15" i="10"/>
  <c r="D14" i="10"/>
  <c r="I14" i="10" s="1"/>
  <c r="C14" i="10"/>
  <c r="D13" i="10"/>
  <c r="I13" i="10" s="1"/>
  <c r="C13" i="10"/>
  <c r="D12" i="10"/>
  <c r="I12" i="10" s="1"/>
  <c r="C12" i="10"/>
  <c r="D11" i="10"/>
  <c r="I11" i="10" s="1"/>
  <c r="C11" i="10"/>
  <c r="D10" i="10"/>
  <c r="I10" i="10" s="1"/>
  <c r="C10" i="10"/>
  <c r="AN7" i="10"/>
  <c r="F15" i="10" s="1"/>
  <c r="AN6" i="10"/>
  <c r="F14" i="10" s="1"/>
  <c r="C6" i="10"/>
  <c r="AN5" i="10"/>
  <c r="AO5" i="10" s="1"/>
  <c r="G13" i="10" s="1"/>
  <c r="AN4" i="10"/>
  <c r="AO4" i="10" s="1"/>
  <c r="G12" i="10" s="1"/>
  <c r="AN3" i="10"/>
  <c r="F11" i="10" s="1"/>
  <c r="AN2" i="10"/>
  <c r="F10" i="10" s="1"/>
  <c r="C6" i="2"/>
  <c r="E14" i="10" l="1"/>
  <c r="L14" i="10" s="1"/>
  <c r="J14" i="10" s="1"/>
  <c r="K14" i="10" s="1"/>
  <c r="E15" i="10"/>
  <c r="L15" i="10" s="1"/>
  <c r="J15" i="10" s="1"/>
  <c r="K15" i="10" s="1"/>
  <c r="E11" i="10"/>
  <c r="L11" i="10" s="1"/>
  <c r="J11" i="10" s="1"/>
  <c r="K11" i="10" s="1"/>
  <c r="E10" i="10"/>
  <c r="L10" i="10" s="1"/>
  <c r="H10" i="10" s="1"/>
  <c r="AO3" i="10"/>
  <c r="G11" i="10" s="1"/>
  <c r="AO7" i="10"/>
  <c r="G15" i="10" s="1"/>
  <c r="F12" i="10"/>
  <c r="E12" i="10" s="1"/>
  <c r="L12" i="10" s="1"/>
  <c r="AO2" i="10"/>
  <c r="G10" i="10" s="1"/>
  <c r="AO6" i="10"/>
  <c r="G14" i="10" s="1"/>
  <c r="F13" i="10"/>
  <c r="E13" i="10" s="1"/>
  <c r="L13" i="10" s="1"/>
  <c r="D15" i="9"/>
  <c r="I15" i="9" s="1"/>
  <c r="C15" i="9"/>
  <c r="D14" i="9"/>
  <c r="I14" i="9" s="1"/>
  <c r="C14" i="9"/>
  <c r="D13" i="9"/>
  <c r="I13" i="9" s="1"/>
  <c r="C13" i="9"/>
  <c r="D12" i="9"/>
  <c r="I12" i="9" s="1"/>
  <c r="C12" i="9"/>
  <c r="D11" i="9"/>
  <c r="I11" i="9" s="1"/>
  <c r="C11" i="9"/>
  <c r="D10" i="9"/>
  <c r="I10" i="9" s="1"/>
  <c r="C10" i="9"/>
  <c r="AN7" i="9"/>
  <c r="F15" i="9" s="1"/>
  <c r="AN6" i="9"/>
  <c r="F14" i="9" s="1"/>
  <c r="C6" i="9"/>
  <c r="AN5" i="9"/>
  <c r="AO5" i="9" s="1"/>
  <c r="G13" i="9" s="1"/>
  <c r="AN4" i="9"/>
  <c r="F12" i="9" s="1"/>
  <c r="AN3" i="9"/>
  <c r="F11" i="9" s="1"/>
  <c r="AN2" i="9"/>
  <c r="F10" i="9" s="1"/>
  <c r="D14" i="8"/>
  <c r="I14" i="8" s="1"/>
  <c r="C14" i="8"/>
  <c r="D13" i="8"/>
  <c r="I13" i="8" s="1"/>
  <c r="C13" i="8"/>
  <c r="D12" i="8"/>
  <c r="I12" i="8" s="1"/>
  <c r="C12" i="8"/>
  <c r="D11" i="8"/>
  <c r="I11" i="8" s="1"/>
  <c r="C11" i="8"/>
  <c r="D10" i="8"/>
  <c r="I10" i="8" s="1"/>
  <c r="C10" i="8"/>
  <c r="D9" i="8"/>
  <c r="I9" i="8" s="1"/>
  <c r="C9" i="8"/>
  <c r="AN7" i="8"/>
  <c r="AO7" i="8" s="1"/>
  <c r="G14" i="8" s="1"/>
  <c r="AN6" i="8"/>
  <c r="AO6" i="8" s="1"/>
  <c r="G13" i="8" s="1"/>
  <c r="C6" i="8"/>
  <c r="AN5" i="8"/>
  <c r="F12" i="8" s="1"/>
  <c r="AN4" i="8"/>
  <c r="F11" i="8" s="1"/>
  <c r="AN3" i="8"/>
  <c r="F10" i="8" s="1"/>
  <c r="AN2" i="8"/>
  <c r="AO2" i="8" s="1"/>
  <c r="G9" i="8" s="1"/>
  <c r="AO3" i="9" l="1"/>
  <c r="G11" i="9" s="1"/>
  <c r="H14" i="10"/>
  <c r="H15" i="10"/>
  <c r="H11" i="10"/>
  <c r="J10" i="10"/>
  <c r="K10" i="10" s="1"/>
  <c r="H13" i="10"/>
  <c r="J13" i="10"/>
  <c r="K13" i="10" s="1"/>
  <c r="J12" i="10"/>
  <c r="K12" i="10" s="1"/>
  <c r="H12" i="10"/>
  <c r="AO7" i="9"/>
  <c r="G15" i="9" s="1"/>
  <c r="E12" i="9"/>
  <c r="L12" i="9" s="1"/>
  <c r="J12" i="9" s="1"/>
  <c r="K12" i="9" s="1"/>
  <c r="E14" i="9"/>
  <c r="L14" i="9" s="1"/>
  <c r="J14" i="9" s="1"/>
  <c r="K14" i="9" s="1"/>
  <c r="E15" i="9"/>
  <c r="L15" i="9" s="1"/>
  <c r="H15" i="9" s="1"/>
  <c r="E10" i="9"/>
  <c r="L10" i="9" s="1"/>
  <c r="J10" i="9" s="1"/>
  <c r="K10" i="9" s="1"/>
  <c r="E11" i="9"/>
  <c r="L11" i="9" s="1"/>
  <c r="J11" i="9" s="1"/>
  <c r="K11" i="9" s="1"/>
  <c r="F13" i="9"/>
  <c r="E13" i="9" s="1"/>
  <c r="L13" i="9" s="1"/>
  <c r="AO2" i="9"/>
  <c r="G10" i="9" s="1"/>
  <c r="AO4" i="9"/>
  <c r="G12" i="9" s="1"/>
  <c r="AO6" i="9"/>
  <c r="G14" i="9" s="1"/>
  <c r="F13" i="8"/>
  <c r="E13" i="8" s="1"/>
  <c r="L13" i="8" s="1"/>
  <c r="J13" i="8" s="1"/>
  <c r="K13" i="8" s="1"/>
  <c r="E10" i="8"/>
  <c r="L10" i="8" s="1"/>
  <c r="J10" i="8" s="1"/>
  <c r="K10" i="8" s="1"/>
  <c r="AO5" i="8"/>
  <c r="G12" i="8" s="1"/>
  <c r="AO4" i="8"/>
  <c r="G11" i="8" s="1"/>
  <c r="E12" i="8"/>
  <c r="L12" i="8" s="1"/>
  <c r="J12" i="8" s="1"/>
  <c r="K12" i="8" s="1"/>
  <c r="AO3" i="8"/>
  <c r="G10" i="8" s="1"/>
  <c r="E11" i="8"/>
  <c r="L11" i="8" s="1"/>
  <c r="H11" i="8" s="1"/>
  <c r="F9" i="8"/>
  <c r="E9" i="8" s="1"/>
  <c r="L9" i="8" s="1"/>
  <c r="F14" i="8"/>
  <c r="E14" i="8" s="1"/>
  <c r="L14" i="8" s="1"/>
  <c r="C14" i="7"/>
  <c r="C13" i="7"/>
  <c r="C12" i="7"/>
  <c r="C11" i="7"/>
  <c r="C10" i="7"/>
  <c r="C9" i="7"/>
  <c r="AN7" i="7"/>
  <c r="AO7" i="7" s="1"/>
  <c r="G14" i="7" s="1"/>
  <c r="AN6" i="7"/>
  <c r="F13" i="7" s="1"/>
  <c r="C6" i="7"/>
  <c r="AN5" i="7"/>
  <c r="AO5" i="7" s="1"/>
  <c r="G12" i="7" s="1"/>
  <c r="AN4" i="7"/>
  <c r="AO4" i="7" s="1"/>
  <c r="G11" i="7" s="1"/>
  <c r="AN3" i="7"/>
  <c r="AO3" i="7" s="1"/>
  <c r="G10" i="7" s="1"/>
  <c r="AN2" i="7"/>
  <c r="F9" i="7" s="1"/>
  <c r="H10" i="9" l="1"/>
  <c r="J15" i="9"/>
  <c r="K15" i="9" s="1"/>
  <c r="H14" i="9"/>
  <c r="H12" i="9"/>
  <c r="H11" i="9"/>
  <c r="H13" i="9"/>
  <c r="J13" i="9"/>
  <c r="K13" i="9" s="1"/>
  <c r="H10" i="8"/>
  <c r="H12" i="8"/>
  <c r="J11" i="8"/>
  <c r="K11" i="8" s="1"/>
  <c r="H13" i="8"/>
  <c r="J14" i="8"/>
  <c r="K14" i="8" s="1"/>
  <c r="H14" i="8"/>
  <c r="J9" i="8"/>
  <c r="K9" i="8" s="1"/>
  <c r="H9" i="8"/>
  <c r="AO2" i="7"/>
  <c r="G9" i="7" s="1"/>
  <c r="D13" i="7"/>
  <c r="I13" i="7" s="1"/>
  <c r="D9" i="7"/>
  <c r="I9" i="7" s="1"/>
  <c r="AO6" i="7"/>
  <c r="G13" i="7" s="1"/>
  <c r="F10" i="7"/>
  <c r="F14" i="7"/>
  <c r="F11" i="7"/>
  <c r="F12" i="7"/>
  <c r="D11" i="7" l="1"/>
  <c r="I11" i="7" s="1"/>
  <c r="D14" i="7"/>
  <c r="I14" i="7" s="1"/>
  <c r="D10" i="7"/>
  <c r="I10" i="7" s="1"/>
  <c r="E9" i="7"/>
  <c r="L9" i="7" s="1"/>
  <c r="D12" i="7"/>
  <c r="I12" i="7" s="1"/>
  <c r="E13" i="7"/>
  <c r="L13" i="7" s="1"/>
  <c r="D14" i="5"/>
  <c r="I14" i="5" s="1"/>
  <c r="C14" i="5"/>
  <c r="D13" i="5"/>
  <c r="I13" i="5" s="1"/>
  <c r="C13" i="5"/>
  <c r="D12" i="5"/>
  <c r="I12" i="5" s="1"/>
  <c r="C12" i="5"/>
  <c r="D11" i="5"/>
  <c r="I11" i="5" s="1"/>
  <c r="C11" i="5"/>
  <c r="D10" i="5"/>
  <c r="I10" i="5" s="1"/>
  <c r="C10" i="5"/>
  <c r="D9" i="5"/>
  <c r="I9" i="5" s="1"/>
  <c r="C9" i="5"/>
  <c r="AN7" i="5"/>
  <c r="F14" i="5" s="1"/>
  <c r="AN6" i="5"/>
  <c r="F13" i="5" s="1"/>
  <c r="C6" i="5"/>
  <c r="AN5" i="5"/>
  <c r="AO5" i="5" s="1"/>
  <c r="G12" i="5" s="1"/>
  <c r="AN4" i="5"/>
  <c r="AO4" i="5" s="1"/>
  <c r="G11" i="5" s="1"/>
  <c r="AN3" i="5"/>
  <c r="F10" i="5" s="1"/>
  <c r="AN2" i="5"/>
  <c r="F9" i="5" s="1"/>
  <c r="E12" i="7" l="1"/>
  <c r="L12" i="7" s="1"/>
  <c r="J12" i="7" s="1"/>
  <c r="K12" i="7" s="1"/>
  <c r="J9" i="7"/>
  <c r="K9" i="7" s="1"/>
  <c r="H9" i="7"/>
  <c r="E14" i="7"/>
  <c r="L14" i="7" s="1"/>
  <c r="J13" i="7"/>
  <c r="K13" i="7" s="1"/>
  <c r="H13" i="7"/>
  <c r="E10" i="7"/>
  <c r="L10" i="7" s="1"/>
  <c r="E11" i="7"/>
  <c r="L11" i="7" s="1"/>
  <c r="AO6" i="5"/>
  <c r="G13" i="5" s="1"/>
  <c r="E9" i="5"/>
  <c r="L9" i="5" s="1"/>
  <c r="H9" i="5" s="1"/>
  <c r="E10" i="5"/>
  <c r="L10" i="5" s="1"/>
  <c r="J10" i="5" s="1"/>
  <c r="K10" i="5" s="1"/>
  <c r="E14" i="5"/>
  <c r="L14" i="5" s="1"/>
  <c r="H14" i="5" s="1"/>
  <c r="E13" i="5"/>
  <c r="L13" i="5" s="1"/>
  <c r="H13" i="5" s="1"/>
  <c r="AO2" i="5"/>
  <c r="G9" i="5" s="1"/>
  <c r="AO7" i="5"/>
  <c r="G14" i="5" s="1"/>
  <c r="F11" i="5"/>
  <c r="E11" i="5" s="1"/>
  <c r="L11" i="5" s="1"/>
  <c r="F12" i="5"/>
  <c r="E12" i="5" s="1"/>
  <c r="L12" i="5" s="1"/>
  <c r="AO3" i="5"/>
  <c r="G10" i="5" s="1"/>
  <c r="H12" i="7" l="1"/>
  <c r="J10" i="7"/>
  <c r="K10" i="7" s="1"/>
  <c r="H10" i="7"/>
  <c r="J14" i="7"/>
  <c r="K14" i="7" s="1"/>
  <c r="H14" i="7"/>
  <c r="J11" i="7"/>
  <c r="K11" i="7" s="1"/>
  <c r="H11" i="7"/>
  <c r="J9" i="5"/>
  <c r="K9" i="5" s="1"/>
  <c r="J14" i="5"/>
  <c r="K14" i="5" s="1"/>
  <c r="J13" i="5"/>
  <c r="K13" i="5" s="1"/>
  <c r="H10" i="5"/>
  <c r="H12" i="5"/>
  <c r="J12" i="5"/>
  <c r="K12" i="5" s="1"/>
  <c r="J11" i="5"/>
  <c r="K11" i="5" s="1"/>
  <c r="H11" i="5"/>
  <c r="D10" i="1"/>
  <c r="D14" i="1" l="1"/>
  <c r="D13" i="1"/>
  <c r="D12" i="1"/>
  <c r="D11" i="1"/>
  <c r="D9" i="1" l="1"/>
  <c r="AN2" i="1"/>
  <c r="AO2" i="1" s="1"/>
  <c r="AN3" i="1"/>
  <c r="AO3" i="1" s="1"/>
  <c r="AN4" i="1"/>
  <c r="AO4" i="1" s="1"/>
  <c r="AN5" i="1"/>
  <c r="AO5" i="1" s="1"/>
  <c r="AN6" i="1"/>
  <c r="AO6" i="1" s="1"/>
  <c r="AN7" i="1"/>
  <c r="AO7" i="1" s="1"/>
  <c r="D14" i="2" l="1"/>
  <c r="D13" i="2"/>
  <c r="D12" i="2"/>
  <c r="D11" i="2"/>
  <c r="D10" i="2"/>
  <c r="D9" i="2"/>
  <c r="C14" i="2"/>
  <c r="C13" i="2"/>
  <c r="C12" i="2"/>
  <c r="C11" i="2"/>
  <c r="C10" i="2"/>
  <c r="C9" i="2"/>
  <c r="AN7" i="2"/>
  <c r="AO7" i="2" s="1"/>
  <c r="AN6" i="2"/>
  <c r="F13" i="2" s="1"/>
  <c r="AN5" i="2"/>
  <c r="AO5" i="2" s="1"/>
  <c r="AN4" i="2"/>
  <c r="AO4" i="2" s="1"/>
  <c r="AN3" i="2"/>
  <c r="AO3" i="2" s="1"/>
  <c r="AN2" i="2"/>
  <c r="F9" i="2" s="1"/>
  <c r="G14" i="2" l="1"/>
  <c r="AP7" i="2"/>
  <c r="G12" i="2"/>
  <c r="AP5" i="2"/>
  <c r="G11" i="2"/>
  <c r="AP4" i="2"/>
  <c r="G10" i="2"/>
  <c r="AP3" i="2"/>
  <c r="I13" i="2"/>
  <c r="I9" i="2"/>
  <c r="AO6" i="2"/>
  <c r="F10" i="2"/>
  <c r="F14" i="2"/>
  <c r="F11" i="2"/>
  <c r="F12" i="2"/>
  <c r="AO2" i="2"/>
  <c r="G14" i="1"/>
  <c r="G13" i="1"/>
  <c r="G12" i="1"/>
  <c r="G11" i="1"/>
  <c r="G10" i="1"/>
  <c r="G9" i="1"/>
  <c r="F9" i="1"/>
  <c r="G13" i="2" l="1"/>
  <c r="AP6" i="2"/>
  <c r="G9" i="2"/>
  <c r="AP2" i="2"/>
  <c r="E9" i="2"/>
  <c r="L9" i="2" s="1"/>
  <c r="J9" i="2" s="1"/>
  <c r="K9" i="2" s="1"/>
  <c r="I12" i="2"/>
  <c r="E13" i="2"/>
  <c r="L13" i="2" s="1"/>
  <c r="I14" i="2"/>
  <c r="I11" i="2"/>
  <c r="I10" i="2"/>
  <c r="C13" i="1"/>
  <c r="C12" i="1"/>
  <c r="H9" i="2" l="1"/>
  <c r="E11" i="2"/>
  <c r="L11" i="2" s="1"/>
  <c r="E10" i="2"/>
  <c r="L10" i="2" s="1"/>
  <c r="E12" i="2"/>
  <c r="L12" i="2" s="1"/>
  <c r="E14" i="2"/>
  <c r="L14" i="2" s="1"/>
  <c r="J13" i="2"/>
  <c r="K13" i="2" s="1"/>
  <c r="H13" i="2"/>
  <c r="F13" i="1"/>
  <c r="F14" i="1"/>
  <c r="C10" i="1"/>
  <c r="I13" i="1" l="1"/>
  <c r="J10" i="2"/>
  <c r="K10" i="2" s="1"/>
  <c r="H10" i="2"/>
  <c r="J11" i="2"/>
  <c r="K11" i="2" s="1"/>
  <c r="H11" i="2"/>
  <c r="J14" i="2"/>
  <c r="K14" i="2" s="1"/>
  <c r="H14" i="2"/>
  <c r="H12" i="2"/>
  <c r="J12" i="2"/>
  <c r="K12" i="2" s="1"/>
  <c r="E13" i="1" l="1"/>
  <c r="L13" i="1" s="1"/>
  <c r="H13" i="1" s="1"/>
  <c r="F11" i="1"/>
  <c r="F12" i="1"/>
  <c r="C14" i="1"/>
  <c r="C9" i="1"/>
  <c r="C11" i="1"/>
  <c r="J13" i="1" l="1"/>
  <c r="K13" i="1" s="1"/>
  <c r="I12" i="1"/>
  <c r="F10" i="1" l="1"/>
  <c r="E12" i="1"/>
  <c r="L12" i="1" s="1"/>
  <c r="E10" i="1" l="1"/>
  <c r="L10" i="1" s="1"/>
  <c r="J12" i="1"/>
  <c r="K12" i="1" s="1"/>
  <c r="H12" i="1"/>
  <c r="I14" i="1"/>
  <c r="I9" i="1"/>
  <c r="I11" i="1"/>
  <c r="I10" i="1" l="1"/>
  <c r="H10" i="1" s="1"/>
  <c r="E14" i="1"/>
  <c r="L14" i="1" s="1"/>
  <c r="H14" i="1" s="1"/>
  <c r="E11" i="1"/>
  <c r="L11" i="1" s="1"/>
  <c r="H11" i="1" s="1"/>
  <c r="E9" i="1"/>
  <c r="L9" i="1" s="1"/>
  <c r="J9" i="1" s="1"/>
  <c r="K9" i="1" s="1"/>
  <c r="C6" i="1"/>
  <c r="J10" i="1" l="1"/>
  <c r="K10" i="1" s="1"/>
  <c r="H9" i="1"/>
  <c r="J11" i="1"/>
  <c r="K11" i="1" s="1"/>
  <c r="J14" i="1" l="1"/>
  <c r="K14" i="1" s="1"/>
</calcChain>
</file>

<file path=xl/sharedStrings.xml><?xml version="1.0" encoding="utf-8"?>
<sst xmlns="http://schemas.openxmlformats.org/spreadsheetml/2006/main" count="169" uniqueCount="32">
  <si>
    <t xml:space="preserve">Dependencia: </t>
  </si>
  <si>
    <t>Frecuencia:</t>
  </si>
  <si>
    <t>Mensual</t>
  </si>
  <si>
    <t>Plazo</t>
  </si>
  <si>
    <t>Prestamo</t>
  </si>
  <si>
    <t>Descuento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</si>
  <si>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</si>
  <si>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</si>
  <si>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</si>
  <si>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</si>
  <si>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</si>
  <si>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</si>
  <si>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</si>
  <si>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MONTO</t>
  </si>
  <si>
    <t>PLAZO</t>
  </si>
  <si>
    <t>DESCUENTO</t>
  </si>
  <si>
    <t>TASA</t>
  </si>
  <si>
    <t>TASA SIN IVA</t>
  </si>
  <si>
    <t>*Las tasas globales e insolutas estan en terminos mensuales e incluyen el IVA.</t>
  </si>
  <si>
    <t>Tasa C/IVA</t>
  </si>
  <si>
    <t>Tasa S/IVA</t>
  </si>
  <si>
    <t>Condiciones:
30 meses, monto mínimo 40,000.
36 meses, monto mínimo 20,000.
42 a 60 meses, monto mínimo 5,000.
El monto de prestamo esta en terminos de 1,000.</t>
  </si>
  <si>
    <t>IMSS PLEY/JUB COMPRA GFI APOYO</t>
  </si>
  <si>
    <t>Monto</t>
  </si>
  <si>
    <r>
      <t xml:space="preserve">Condiciones:
30 meses, monto mínimo 40,000.
36 meses, monto mínimo 20,000.
42 a 60 meses, monto mínimo 5,000.
</t>
    </r>
    <r>
      <rPr>
        <b/>
        <sz val="8"/>
        <color rgb="FFFF0000"/>
        <rFont val="Calibri"/>
        <family val="2"/>
        <scheme val="minor"/>
      </rPr>
      <t>El CAT del credito activo debe ser mayor a 37 % y menor a 38.5 %.</t>
    </r>
    <r>
      <rPr>
        <b/>
        <sz val="7"/>
        <color theme="1"/>
        <rFont val="Calibri"/>
        <family val="2"/>
        <scheme val="minor"/>
      </rPr>
      <t xml:space="preserve">
Ej: En caso de que el crédito activo tiene un CAT mayor del 38.5 %, se debe ocupar la calculadora COMPRA 2.37 %
El monto de prestamo esta en terminos de 1,000.</t>
    </r>
  </si>
  <si>
    <r>
      <t xml:space="preserve">Condiciones:
30 meses, monto mínimo 40,000.
36 meses, monto mínimo 20,000.
42 a 60 meses, monto mínimo 5,000.
</t>
    </r>
    <r>
      <rPr>
        <b/>
        <sz val="7"/>
        <color rgb="FFFF0000"/>
        <rFont val="Calibri"/>
        <family val="2"/>
        <scheme val="minor"/>
      </rPr>
      <t>El CAT del credito activo debe ser mayor a 45%.</t>
    </r>
    <r>
      <rPr>
        <b/>
        <sz val="7"/>
        <color theme="1"/>
        <rFont val="Calibri"/>
        <family val="2"/>
        <scheme val="minor"/>
      </rPr>
      <t xml:space="preserve">
El monto de prestamo esta en terminos de 1,000.</t>
    </r>
  </si>
  <si>
    <r>
      <t xml:space="preserve">Condiciones:
30 meses, monto mínimo 40,000.
36 meses, monto mínimo 20,000.
42 a 60 meses, monto mínimo 5,000.
</t>
    </r>
    <r>
      <rPr>
        <b/>
        <sz val="8"/>
        <color rgb="FFFF0000"/>
        <rFont val="Calibri"/>
        <family val="2"/>
        <scheme val="minor"/>
      </rPr>
      <t>El CAT del credito activo debe ser mayor a 41 % y menor a 45 %.</t>
    </r>
    <r>
      <rPr>
        <b/>
        <sz val="7"/>
        <color theme="1"/>
        <rFont val="Calibri"/>
        <family val="2"/>
        <scheme val="minor"/>
      </rPr>
      <t xml:space="preserve">
Ej: En caso de que el crédito activo tiene un CAT mayor del 45 %, se debe ocupar la calculadora COMPRA 2.71 %.
El monto de prestamo esta en terminos de 1,000.</t>
    </r>
  </si>
  <si>
    <t>TASA ANUAL</t>
  </si>
  <si>
    <t>IMSS PLEY/JUB CREDITO NUEVO GFI APOYO</t>
  </si>
  <si>
    <r>
      <t xml:space="preserve">Condiciones:
30 meses, monto mínimo 40,000.
36 meses, monto mínimo 20,000.
42 a 60 meses, monto mínimo 5,000.
</t>
    </r>
    <r>
      <rPr>
        <b/>
        <sz val="8"/>
        <color rgb="FFFF0000"/>
        <rFont val="Calibri"/>
        <family val="2"/>
        <scheme val="minor"/>
      </rPr>
      <t>El CAT del credito activo debe ser mayor a 38.5 % y menor a 41 %.</t>
    </r>
    <r>
      <rPr>
        <b/>
        <sz val="7"/>
        <color theme="1"/>
        <rFont val="Calibri"/>
        <family val="2"/>
        <scheme val="minor"/>
      </rPr>
      <t xml:space="preserve">
Ej: En caso de que el crédito activo tiene un CAT mayor del 41 %, se debe ocupar la calculadora COMPRA 2.50 %
El monto de prestamo esta en terminos de 1,000.</t>
    </r>
  </si>
  <si>
    <r>
      <t xml:space="preserve">Condiciones:
30 meses, monto mínimo 40,000.
36 meses, monto mínimo 20,000.
42 a 60 meses, monto mínimo 5,000.
</t>
    </r>
    <r>
      <rPr>
        <b/>
        <sz val="8"/>
        <color rgb="FFFF0000"/>
        <rFont val="Calibri"/>
        <family val="2"/>
        <scheme val="minor"/>
      </rPr>
      <t>El CAT del credito activo debe ser mayor a 35.50 % y menor a 37%.
Esta tasa solo aplica para este mes.</t>
    </r>
    <r>
      <rPr>
        <b/>
        <sz val="7"/>
        <color theme="1"/>
        <rFont val="Calibri"/>
        <family val="2"/>
        <scheme val="minor"/>
      </rPr>
      <t xml:space="preserve">
Ej: En caso de que el crédito activo tiene un CAT mayor del 37 %, se debe ocupar la calculadora COMPRA 2.29 %
El monto de prestamo esta en terminos de 1,000.</t>
    </r>
  </si>
  <si>
    <r>
      <t xml:space="preserve">Condiciones:
30 meses, monto mínimo 40,000.
36 meses, monto mínimo 20,000.
42 a 60 meses, monto mínimo 5,000.
</t>
    </r>
    <r>
      <rPr>
        <b/>
        <sz val="8"/>
        <color rgb="FFFF0000"/>
        <rFont val="Calibri"/>
        <family val="2"/>
        <scheme val="minor"/>
      </rPr>
      <t>El CAT del crédito activo debe ser mayor a 32 % y menor a 35.50%.</t>
    </r>
    <r>
      <rPr>
        <b/>
        <sz val="7"/>
        <color theme="1"/>
        <rFont val="Calibri"/>
        <family val="2"/>
        <scheme val="minor"/>
      </rPr>
      <t xml:space="preserve">
Ej: En caso de que el crédito activo tiene un CAT mayor del 35.50 %, se debe ocupar la calculadora COMPRA 2.21 %
El monto de prestamo esta en terminos de 1,000.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</si>
</sst>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7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6" fontId="2" fillId="0" borderId="0"/>
    <xf numFmtId="44" fontId="8" fillId="0" borderId="0" applyFont="0" applyFill="0" applyBorder="0" applyAlignment="0" applyProtection="0"/>
  </cellStyleXfs>
  <cellXfs count="46">
    <xf numFmtId="0" fontId="0" fillId="0" borderId="0" xfId="0"/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0" fillId="3" borderId="0" xfId="0" applyFill="1" applyProtection="1">
      <protection hidden="1"/>
    </xf>
    <xf numFmtId="2" fontId="0" fillId="3" borderId="0" xfId="0" applyNumberFormat="1" applyFill="1" applyProtection="1">
      <protection hidden="1"/>
    </xf>
    <xf numFmtId="10" fontId="0" fillId="3" borderId="0" xfId="0" applyNumberFormat="1" applyFill="1" applyProtection="1">
      <protection hidden="1"/>
    </xf>
    <xf numFmtId="164" fontId="0" fillId="3" borderId="0" xfId="0" applyNumberFormat="1" applyFill="1" applyProtection="1">
      <protection hidden="1"/>
    </xf>
    <xf numFmtId="44" fontId="0" fillId="3" borderId="0" xfId="0" applyNumberFormat="1" applyFill="1" applyProtection="1">
      <protection hidden="1"/>
    </xf>
    <xf numFmtId="165" fontId="0" fillId="3" borderId="0" xfId="0" applyNumberFormat="1" applyFill="1" applyProtection="1"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44" fontId="0" fillId="2" borderId="0" xfId="0" applyNumberFormat="1" applyFill="1" applyAlignment="1" applyProtection="1">
      <alignment horizontal="center"/>
      <protection hidden="1"/>
    </xf>
    <xf numFmtId="10" fontId="0" fillId="2" borderId="0" xfId="0" applyNumberForma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4" fillId="3" borderId="0" xfId="0" applyFont="1" applyFill="1"/>
    <xf numFmtId="44" fontId="5" fillId="0" borderId="0" xfId="0" applyNumberFormat="1" applyFont="1" applyProtection="1">
      <protection locked="0"/>
    </xf>
    <xf numFmtId="0" fontId="6" fillId="3" borderId="0" xfId="0" applyFont="1" applyFill="1" applyProtection="1">
      <protection hidden="1"/>
    </xf>
    <xf numFmtId="0" fontId="7" fillId="3" borderId="0" xfId="0" applyFont="1" applyFill="1" applyProtection="1">
      <protection hidden="1"/>
    </xf>
    <xf numFmtId="0" fontId="7" fillId="0" borderId="0" xfId="0" applyFont="1" applyProtection="1">
      <protection hidden="1"/>
    </xf>
    <xf numFmtId="44" fontId="0" fillId="2" borderId="0" xfId="0" applyNumberFormat="1" applyFill="1" applyAlignment="1">
      <alignment horizontal="center"/>
    </xf>
    <xf numFmtId="0" fontId="9" fillId="4" borderId="0" xfId="0" applyFont="1" applyFill="1" applyProtection="1">
      <protection hidden="1"/>
    </xf>
    <xf numFmtId="10" fontId="0" fillId="4" borderId="0" xfId="0" applyNumberFormat="1" applyFill="1" applyProtection="1">
      <protection hidden="1"/>
    </xf>
    <xf numFmtId="44" fontId="0" fillId="4" borderId="0" xfId="0" applyNumberFormat="1" applyFill="1" applyProtection="1">
      <protection hidden="1"/>
    </xf>
    <xf numFmtId="44" fontId="0" fillId="0" borderId="0" xfId="2" applyFont="1" applyBorder="1"/>
    <xf numFmtId="44" fontId="0" fillId="0" borderId="0" xfId="0" applyNumberFormat="1" applyProtection="1">
      <protection hidden="1"/>
    </xf>
    <xf numFmtId="1" fontId="0" fillId="4" borderId="0" xfId="0" applyNumberFormat="1" applyFill="1" applyProtection="1">
      <protection hidden="1"/>
    </xf>
    <xf numFmtId="1" fontId="0" fillId="0" borderId="0" xfId="0" applyNumberFormat="1" applyProtection="1">
      <protection hidden="1"/>
    </xf>
    <xf numFmtId="0" fontId="12" fillId="4" borderId="0" xfId="0" applyFont="1" applyFill="1" applyProtection="1">
      <protection hidden="1"/>
    </xf>
    <xf numFmtId="44" fontId="0" fillId="0" borderId="0" xfId="0" applyNumberFormat="1"/>
    <xf numFmtId="1" fontId="12" fillId="4" borderId="0" xfId="0" applyNumberFormat="1" applyFont="1" applyFill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8" fontId="0" fillId="0" borderId="0" xfId="0" applyNumberFormat="1"/>
    <xf numFmtId="0" fontId="1" fillId="3" borderId="0" xfId="0" applyFont="1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4" fillId="6" borderId="0" xfId="0" applyFont="1" applyFill="1"/>
    <xf numFmtId="44" fontId="0" fillId="6" borderId="0" xfId="0" applyNumberFormat="1" applyFill="1" applyProtection="1">
      <protection hidden="1"/>
    </xf>
    <xf numFmtId="0" fontId="1" fillId="7" borderId="0" xfId="0" applyFont="1" applyFill="1" applyAlignment="1" applyProtection="1">
      <alignment horizontal="center"/>
      <protection hidden="1"/>
    </xf>
    <xf numFmtId="8" fontId="0" fillId="4" borderId="0" xfId="0" applyNumberFormat="1" applyFill="1" applyProtection="1"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1" fillId="6" borderId="2" xfId="0" applyFont="1" applyFill="1" applyBorder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center" wrapText="1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center" vertical="center" wrapText="1"/>
      <protection hidden="1"/>
    </xf>
  </cellXfs>
  <cellStyles count="3">
    <cellStyle name="Excel Built-in Normal" xfId="1" xr:uid="{00000000-0005-0000-0000-000000000000}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0"/>
  <sheetViews>
    <sheetView showGridLines="0" tabSelected="1" topLeftCell="B1" zoomScale="115" zoomScaleNormal="115" workbookViewId="0">
      <selection activeCell="E4" sqref="E4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6.57031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27" bestFit="1" customWidth="1"/>
    <col min="38" max="39" width="15.7109375" style="25" customWidth="1"/>
    <col min="40" max="40" width="6.42578125" style="13" bestFit="1" customWidth="1"/>
    <col min="41" max="41" width="12.5703125" style="13" bestFit="1" customWidth="1"/>
    <col min="42" max="42" width="12.140625" style="13" bestFit="1" customWidth="1"/>
    <col min="43" max="16384" width="11.42578125" style="13"/>
  </cols>
  <sheetData>
    <row r="1" spans="1:42" s="2" customFormat="1" x14ac:dyDescent="0.25">
      <c r="A1" s="18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AK1" s="30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  <c r="AP1" s="22" t="s">
        <v>27</v>
      </c>
    </row>
    <row r="2" spans="1:42" s="2" customFormat="1" ht="15.75" x14ac:dyDescent="0.25">
      <c r="A2" s="18"/>
      <c r="B2" s="34"/>
      <c r="C2" s="40" t="s">
        <v>0</v>
      </c>
      <c r="D2" s="40"/>
      <c r="E2" s="43" t="s">
        <v>28</v>
      </c>
      <c r="F2" s="43"/>
      <c r="G2" s="4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AK2" s="30">
        <v>30</v>
      </c>
      <c r="AL2" s="23">
        <v>100000</v>
      </c>
      <c r="AM2" s="39">
        <v>5181.29</v>
      </c>
      <c r="AN2" s="22">
        <f>RATE(AK2,AM2,-AL2,0,0)</f>
        <v>3.1198615796154731E-2</v>
      </c>
      <c r="AO2" s="22">
        <f>AN2/1.16</f>
        <v>2.6895358444960975E-2</v>
      </c>
      <c r="AP2" s="22">
        <f>AO2*12</f>
        <v>0.32274430133953169</v>
      </c>
    </row>
    <row r="3" spans="1:42" s="2" customFormat="1" ht="15" customHeight="1" x14ac:dyDescent="0.25">
      <c r="A3" s="18"/>
      <c r="B3" s="34"/>
      <c r="C3" s="40" t="s">
        <v>1</v>
      </c>
      <c r="D3" s="40"/>
      <c r="E3" s="35" t="s">
        <v>2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AK3" s="30">
        <v>36</v>
      </c>
      <c r="AL3" s="23">
        <v>100000</v>
      </c>
      <c r="AM3" s="39">
        <v>4662.67</v>
      </c>
      <c r="AN3" s="22">
        <f>RATE(AK3,AM3,-AL3,0,0)</f>
        <v>3.1198684385118435E-2</v>
      </c>
      <c r="AO3" s="22">
        <f>AN3/1.16</f>
        <v>2.6895417573377961E-2</v>
      </c>
      <c r="AP3" s="22">
        <f t="shared" ref="AP3:AP7" si="0">AO3*12</f>
        <v>0.32274501088053553</v>
      </c>
    </row>
    <row r="4" spans="1:42" s="2" customFormat="1" ht="15.75" customHeight="1" x14ac:dyDescent="0.25">
      <c r="A4" s="18"/>
      <c r="B4" s="34"/>
      <c r="C4" s="40" t="s">
        <v>9</v>
      </c>
      <c r="D4" s="41"/>
      <c r="E4" s="1" t="s">
        <v>23</v>
      </c>
      <c r="F4" s="34"/>
      <c r="G4" s="34"/>
      <c r="H4" s="34"/>
      <c r="I4" s="42" t="s">
        <v>21</v>
      </c>
      <c r="J4" s="42"/>
      <c r="K4" s="42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AK4" s="30">
        <v>42</v>
      </c>
      <c r="AL4" s="23">
        <v>100000</v>
      </c>
      <c r="AM4" s="39">
        <v>4304.3500000000004</v>
      </c>
      <c r="AN4" s="22">
        <f>RATE(AK4,AM4,-AL4,0,0)</f>
        <v>3.1198654764526091E-2</v>
      </c>
      <c r="AO4" s="22">
        <f>AN4/1.16</f>
        <v>2.6895392038384563E-2</v>
      </c>
      <c r="AP4" s="22">
        <f t="shared" si="0"/>
        <v>0.32274470446061476</v>
      </c>
    </row>
    <row r="5" spans="1:42" s="2" customFormat="1" x14ac:dyDescent="0.25">
      <c r="A5" s="18"/>
      <c r="B5" s="34"/>
      <c r="C5" s="35"/>
      <c r="D5" s="35"/>
      <c r="E5" s="35"/>
      <c r="F5" s="34"/>
      <c r="G5" s="34"/>
      <c r="H5" s="34"/>
      <c r="I5" s="42"/>
      <c r="J5" s="42"/>
      <c r="K5" s="42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AK5" s="30">
        <v>48</v>
      </c>
      <c r="AL5" s="23">
        <v>100000</v>
      </c>
      <c r="AM5" s="39">
        <v>4045.78</v>
      </c>
      <c r="AN5" s="22">
        <f>RATE(AK5,AM5,-AL5,0,0)</f>
        <v>3.1198686509149837E-2</v>
      </c>
      <c r="AO5" s="22">
        <f>AN5/1.16</f>
        <v>2.6895419404439517E-2</v>
      </c>
      <c r="AP5" s="22">
        <f t="shared" si="0"/>
        <v>0.32274503285327422</v>
      </c>
    </row>
    <row r="6" spans="1:42" s="2" customFormat="1" ht="18.75" x14ac:dyDescent="0.3">
      <c r="A6" s="18"/>
      <c r="B6" s="34"/>
      <c r="C6" s="40" t="str">
        <f>IF(E4="MONTO","Ingrese el Monto:","Ingrese la capacidad:")</f>
        <v>Ingrese el Monto:</v>
      </c>
      <c r="D6" s="40"/>
      <c r="E6" s="16">
        <v>150000</v>
      </c>
      <c r="F6" s="34"/>
      <c r="G6" s="34"/>
      <c r="H6" s="34"/>
      <c r="I6" s="42"/>
      <c r="J6" s="42"/>
      <c r="K6" s="42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AK6" s="30">
        <v>54</v>
      </c>
      <c r="AL6" s="23">
        <v>100000</v>
      </c>
      <c r="AM6" s="39">
        <v>3853.27</v>
      </c>
      <c r="AN6" s="22">
        <f t="shared" ref="AN6:AN7" si="1">RATE(AK6,AM6,-AL6,0,0)</f>
        <v>3.1198665289416654E-2</v>
      </c>
      <c r="AO6" s="22">
        <f t="shared" ref="AO6:AO7" si="2">AN6/1.16</f>
        <v>2.6895401111566082E-2</v>
      </c>
      <c r="AP6" s="22">
        <f t="shared" si="0"/>
        <v>0.32274481333879301</v>
      </c>
    </row>
    <row r="7" spans="1:42" s="2" customFormat="1" x14ac:dyDescent="0.25">
      <c r="A7" s="18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AK7" s="30">
        <v>60</v>
      </c>
      <c r="AL7" s="23">
        <v>100000</v>
      </c>
      <c r="AM7" s="39">
        <v>3706.59</v>
      </c>
      <c r="AN7" s="22">
        <f t="shared" si="1"/>
        <v>3.1198653919950414E-2</v>
      </c>
      <c r="AO7" s="22">
        <f t="shared" si="2"/>
        <v>2.6895391310302084E-2</v>
      </c>
      <c r="AP7" s="22">
        <f t="shared" si="0"/>
        <v>0.32274469572362502</v>
      </c>
    </row>
    <row r="8" spans="1:42" s="2" customFormat="1" x14ac:dyDescent="0.25">
      <c r="A8" s="18"/>
      <c r="B8" s="34"/>
      <c r="C8" s="38" t="s">
        <v>3</v>
      </c>
      <c r="D8" s="38" t="s">
        <v>4</v>
      </c>
      <c r="E8" s="38" t="s">
        <v>5</v>
      </c>
      <c r="F8" s="38" t="s">
        <v>19</v>
      </c>
      <c r="G8" s="38" t="s">
        <v>20</v>
      </c>
      <c r="H8" s="38" t="s">
        <v>10</v>
      </c>
      <c r="I8" s="38" t="s">
        <v>7</v>
      </c>
      <c r="J8" s="38" t="s">
        <v>11</v>
      </c>
      <c r="K8" s="38" t="s">
        <v>12</v>
      </c>
      <c r="L8" s="38" t="s">
        <v>6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AK8" s="26"/>
      <c r="AL8" s="23"/>
      <c r="AM8" s="23"/>
      <c r="AN8" s="22"/>
      <c r="AO8" s="22"/>
    </row>
    <row r="9" spans="1:42" s="2" customFormat="1" x14ac:dyDescent="0.25">
      <c r="A9" s="17">
        <v>30</v>
      </c>
      <c r="B9" s="34"/>
      <c r="C9" s="10" t="str">
        <f t="shared" ref="C9:C10" si="3">CONCATENATE(A9," M")</f>
        <v>30 M</v>
      </c>
      <c r="D9" s="20">
        <f>IF(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&gt;=40000,
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,
0)</f>
        <v>150000</v>
      </c>
      <c r="E9" s="11">
        <f t="shared" ref="E9:E14" si="4">-PMT(F9,A9,D9,,0)</f>
        <v>7771.935000000014</v>
      </c>
      <c r="F9" s="12">
        <f>VLOOKUP(A9,AK:AO,4,0)</f>
        <v>3.1198615796154731E-2</v>
      </c>
      <c r="G9" s="12">
        <f>VLOOKUP(A9,AK:AO,5,0)</f>
        <v>2.6895358444960975E-2</v>
      </c>
      <c r="H9" s="12">
        <f t="shared" ref="H9:H14" si="5">IFERROR(((L9-I9)/I9)/A9,0)</f>
        <v>1.8479566666666763E-2</v>
      </c>
      <c r="I9" s="11">
        <f t="shared" ref="I9:I14" si="6">D9</f>
        <v>150000</v>
      </c>
      <c r="J9" s="11">
        <f t="shared" ref="J9:J14" si="7">(L9-I9)/1.16</f>
        <v>71687.974137931407</v>
      </c>
      <c r="K9" s="11">
        <f t="shared" ref="K9:K14" si="8">J9*16%</f>
        <v>11470.075862069025</v>
      </c>
      <c r="L9" s="11">
        <f t="shared" ref="L9:L14" si="9">E9*A9</f>
        <v>233158.05000000042</v>
      </c>
      <c r="M9" s="37"/>
      <c r="N9" s="34"/>
      <c r="O9" s="34"/>
      <c r="P9" s="34"/>
      <c r="Q9" s="34"/>
      <c r="R9" s="34"/>
      <c r="S9" s="34"/>
      <c r="T9" s="34"/>
      <c r="U9" s="34"/>
      <c r="V9" s="34"/>
      <c r="W9" s="34"/>
      <c r="AK9" s="26"/>
      <c r="AL9" s="23"/>
      <c r="AM9" s="23"/>
      <c r="AN9" s="22"/>
      <c r="AO9" s="22"/>
    </row>
    <row r="10" spans="1:42" s="2" customFormat="1" x14ac:dyDescent="0.25">
      <c r="A10" s="17">
        <v>36</v>
      </c>
      <c r="B10" s="34"/>
      <c r="C10" s="10" t="str">
        <f t="shared" si="3"/>
        <v>36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20000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150000</v>
      </c>
      <c r="E10" s="11">
        <f t="shared" si="4"/>
        <v>6994.0050000003112</v>
      </c>
      <c r="F10" s="12">
        <f t="shared" ref="F10:F14" si="10">VLOOKUP(A10,AK:AO,4,0)</f>
        <v>3.1198684385118435E-2</v>
      </c>
      <c r="G10" s="12">
        <f t="shared" ref="G10:G14" si="11">VLOOKUP(A10,AK:AO,5,0)</f>
        <v>2.6895417573377961E-2</v>
      </c>
      <c r="H10" s="12">
        <f t="shared" si="5"/>
        <v>1.8848922222224299E-2</v>
      </c>
      <c r="I10" s="11">
        <f t="shared" si="6"/>
        <v>150000</v>
      </c>
      <c r="J10" s="11">
        <f t="shared" si="7"/>
        <v>87744.982758630344</v>
      </c>
      <c r="K10" s="11">
        <f t="shared" si="8"/>
        <v>14039.197241380854</v>
      </c>
      <c r="L10" s="11">
        <f t="shared" si="9"/>
        <v>251784.1800000112</v>
      </c>
      <c r="M10" s="37"/>
      <c r="N10" s="34"/>
      <c r="O10" s="34"/>
      <c r="P10" s="34"/>
      <c r="Q10" s="34"/>
      <c r="R10" s="34"/>
      <c r="S10" s="34"/>
      <c r="T10" s="34"/>
      <c r="U10" s="34"/>
      <c r="V10" s="34"/>
      <c r="W10" s="34"/>
      <c r="AK10" s="26"/>
      <c r="AL10" s="23"/>
      <c r="AM10" s="23"/>
      <c r="AN10" s="22"/>
      <c r="AO10" s="22"/>
    </row>
    <row r="11" spans="1:42" s="2" customFormat="1" x14ac:dyDescent="0.25">
      <c r="A11" s="17">
        <v>42</v>
      </c>
      <c r="B11" s="34"/>
      <c r="C11" s="10" t="str">
        <f>CONCATENATE(A11," M")</f>
        <v>42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5000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150000</v>
      </c>
      <c r="E11" s="11">
        <f t="shared" si="4"/>
        <v>6456.5250000000033</v>
      </c>
      <c r="F11" s="12">
        <f t="shared" si="10"/>
        <v>3.1198654764526091E-2</v>
      </c>
      <c r="G11" s="12">
        <f t="shared" si="11"/>
        <v>2.6895392038384563E-2</v>
      </c>
      <c r="H11" s="12">
        <f t="shared" si="5"/>
        <v>1.9233976190476215E-2</v>
      </c>
      <c r="I11" s="11">
        <f t="shared" si="6"/>
        <v>150000</v>
      </c>
      <c r="J11" s="11">
        <f t="shared" si="7"/>
        <v>104460.38793103462</v>
      </c>
      <c r="K11" s="11">
        <f t="shared" si="8"/>
        <v>16713.662068965539</v>
      </c>
      <c r="L11" s="11">
        <f t="shared" si="9"/>
        <v>271174.05000000016</v>
      </c>
      <c r="M11" s="37"/>
      <c r="N11" s="34"/>
      <c r="O11" s="34"/>
      <c r="P11" s="34"/>
      <c r="Q11" s="34"/>
      <c r="R11" s="34"/>
      <c r="S11" s="34"/>
      <c r="T11" s="34"/>
      <c r="U11" s="34"/>
      <c r="V11" s="34"/>
      <c r="W11" s="34"/>
      <c r="AK11" s="26"/>
      <c r="AL11" s="23"/>
      <c r="AM11" s="23"/>
    </row>
    <row r="12" spans="1:42" s="2" customFormat="1" x14ac:dyDescent="0.25">
      <c r="A12" s="17">
        <v>48</v>
      </c>
      <c r="B12" s="34"/>
      <c r="C12" s="10" t="str">
        <f t="shared" ref="C12:C14" si="12">CONCATENATE(A12," M")</f>
        <v>48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150000</v>
      </c>
      <c r="E12" s="11">
        <f t="shared" si="4"/>
        <v>6068.6699999999873</v>
      </c>
      <c r="F12" s="12">
        <f t="shared" si="10"/>
        <v>3.1198686509149837E-2</v>
      </c>
      <c r="G12" s="12">
        <f t="shared" si="11"/>
        <v>2.6895419404439517E-2</v>
      </c>
      <c r="H12" s="12">
        <f t="shared" si="5"/>
        <v>1.9624466666666583E-2</v>
      </c>
      <c r="I12" s="11">
        <f t="shared" si="6"/>
        <v>150000</v>
      </c>
      <c r="J12" s="11">
        <f t="shared" si="7"/>
        <v>121807.0344827581</v>
      </c>
      <c r="K12" s="11">
        <f t="shared" si="8"/>
        <v>19489.125517241297</v>
      </c>
      <c r="L12" s="11">
        <f t="shared" si="9"/>
        <v>291296.15999999939</v>
      </c>
      <c r="M12" s="37"/>
      <c r="N12" s="34"/>
      <c r="O12" s="34"/>
      <c r="P12" s="34"/>
      <c r="Q12" s="34"/>
      <c r="R12" s="34"/>
      <c r="S12" s="34"/>
      <c r="T12" s="34"/>
      <c r="U12" s="34"/>
      <c r="V12" s="34"/>
      <c r="W12" s="34"/>
      <c r="AK12" s="26"/>
      <c r="AL12" s="23"/>
      <c r="AM12" s="23"/>
    </row>
    <row r="13" spans="1:42" s="2" customFormat="1" x14ac:dyDescent="0.25">
      <c r="A13" s="17">
        <v>54</v>
      </c>
      <c r="B13" s="34"/>
      <c r="C13" s="10" t="str">
        <f t="shared" si="12"/>
        <v>54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150000</v>
      </c>
      <c r="E13" s="11">
        <f t="shared" si="4"/>
        <v>5779.9050000002126</v>
      </c>
      <c r="F13" s="12">
        <f t="shared" si="10"/>
        <v>3.1198665289416654E-2</v>
      </c>
      <c r="G13" s="12">
        <f t="shared" si="11"/>
        <v>2.6895401111566082E-2</v>
      </c>
      <c r="H13" s="12">
        <f t="shared" si="5"/>
        <v>2.0014181481482898E-2</v>
      </c>
      <c r="I13" s="11">
        <f t="shared" si="6"/>
        <v>150000</v>
      </c>
      <c r="J13" s="11">
        <f t="shared" si="7"/>
        <v>139754.19827587195</v>
      </c>
      <c r="K13" s="11">
        <f t="shared" si="8"/>
        <v>22360.671724139513</v>
      </c>
      <c r="L13" s="11">
        <f t="shared" si="9"/>
        <v>312114.87000001146</v>
      </c>
      <c r="M13" s="37"/>
      <c r="N13" s="34"/>
      <c r="O13" s="34"/>
      <c r="P13" s="34"/>
      <c r="Q13" s="34"/>
      <c r="R13" s="34"/>
      <c r="S13" s="34"/>
      <c r="T13" s="34"/>
      <c r="U13" s="34"/>
      <c r="V13" s="34"/>
      <c r="W13" s="34"/>
      <c r="AK13" s="26"/>
      <c r="AL13" s="23"/>
      <c r="AM13" s="23"/>
    </row>
    <row r="14" spans="1:42" s="2" customFormat="1" x14ac:dyDescent="0.25">
      <c r="A14" s="17">
        <v>60</v>
      </c>
      <c r="B14" s="34"/>
      <c r="C14" s="10" t="str">
        <f t="shared" si="12"/>
        <v>60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150000</v>
      </c>
      <c r="E14" s="11">
        <f t="shared" si="4"/>
        <v>5559.885000000002</v>
      </c>
      <c r="F14" s="12">
        <f t="shared" si="10"/>
        <v>3.1198653919950414E-2</v>
      </c>
      <c r="G14" s="12">
        <f t="shared" si="11"/>
        <v>2.6895391310302084E-2</v>
      </c>
      <c r="H14" s="12">
        <f t="shared" si="5"/>
        <v>2.0399233333333343E-2</v>
      </c>
      <c r="I14" s="11">
        <f t="shared" si="6"/>
        <v>150000</v>
      </c>
      <c r="J14" s="11">
        <f t="shared" si="7"/>
        <v>158269.91379310354</v>
      </c>
      <c r="K14" s="11">
        <f t="shared" si="8"/>
        <v>25323.186206896567</v>
      </c>
      <c r="L14" s="11">
        <f t="shared" si="9"/>
        <v>333593.10000000009</v>
      </c>
      <c r="M14" s="37"/>
      <c r="N14" s="34"/>
      <c r="O14" s="34"/>
      <c r="P14" s="34"/>
      <c r="Q14" s="34"/>
      <c r="R14" s="34"/>
      <c r="S14" s="34"/>
      <c r="T14" s="34"/>
      <c r="U14" s="34"/>
      <c r="V14" s="34"/>
      <c r="W14" s="34"/>
      <c r="AK14" s="26"/>
      <c r="AL14" s="23"/>
      <c r="AM14" s="23"/>
    </row>
    <row r="15" spans="1:42" s="2" customFormat="1" x14ac:dyDescent="0.25">
      <c r="A15" s="18"/>
      <c r="B15" s="34"/>
      <c r="C15" s="36" t="s">
        <v>8</v>
      </c>
      <c r="D15" s="34"/>
      <c r="E15" s="34"/>
      <c r="F15" s="34"/>
      <c r="G15" s="34"/>
      <c r="H15" s="34"/>
      <c r="I15" s="34"/>
      <c r="J15" s="34"/>
      <c r="K15" s="34"/>
      <c r="L15" s="34"/>
      <c r="M15" s="37"/>
      <c r="N15" s="34"/>
      <c r="O15" s="34"/>
      <c r="P15" s="34"/>
      <c r="Q15" s="34"/>
      <c r="R15" s="34"/>
      <c r="S15" s="34"/>
      <c r="T15" s="34"/>
      <c r="U15" s="34"/>
      <c r="V15" s="34"/>
      <c r="W15" s="34"/>
      <c r="AK15" s="26"/>
      <c r="AL15" s="23"/>
      <c r="AM15" s="23"/>
      <c r="AN15" s="22"/>
      <c r="AO15" s="22"/>
    </row>
    <row r="16" spans="1:42" s="2" customFormat="1" x14ac:dyDescent="0.25">
      <c r="A16" s="18"/>
      <c r="B16" s="34"/>
      <c r="C16" s="36" t="s">
        <v>18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AK16" s="26"/>
      <c r="AL16" s="23"/>
      <c r="AM16" s="23"/>
      <c r="AN16" s="22"/>
      <c r="AO16" s="22"/>
    </row>
    <row r="17" spans="1:41" s="2" customFormat="1" x14ac:dyDescent="0.25">
      <c r="A17" s="18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AK17" s="26"/>
      <c r="AL17" s="23"/>
      <c r="AM17" s="23"/>
      <c r="AN17" s="22"/>
      <c r="AO17" s="22"/>
    </row>
    <row r="18" spans="1:41" s="2" customFormat="1" x14ac:dyDescent="0.25">
      <c r="A18" s="18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AK18" s="26"/>
      <c r="AL18" s="23"/>
      <c r="AM18" s="23"/>
      <c r="AN18" s="22"/>
      <c r="AO18" s="22"/>
    </row>
    <row r="19" spans="1:41" s="2" customFormat="1" x14ac:dyDescent="0.25">
      <c r="A19" s="18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AK19" s="26"/>
      <c r="AL19" s="23"/>
      <c r="AM19" s="23"/>
      <c r="AN19" s="22"/>
      <c r="AO19" s="22"/>
    </row>
    <row r="20" spans="1:41" s="2" customFormat="1" x14ac:dyDescent="0.25">
      <c r="A20" s="18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AK20" s="26"/>
      <c r="AL20" s="23"/>
      <c r="AM20" s="23"/>
    </row>
    <row r="21" spans="1:41" s="2" customFormat="1" x14ac:dyDescent="0.25">
      <c r="A21" s="18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AK21" s="26"/>
      <c r="AL21" s="23"/>
      <c r="AM21" s="23"/>
    </row>
    <row r="22" spans="1:41" s="2" customFormat="1" x14ac:dyDescent="0.25">
      <c r="A22" s="18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AK22" s="26"/>
      <c r="AL22" s="23"/>
      <c r="AM22" s="23"/>
    </row>
    <row r="23" spans="1:41" s="2" customFormat="1" x14ac:dyDescent="0.25">
      <c r="A23" s="18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AK23" s="26"/>
      <c r="AL23" s="23"/>
      <c r="AM23" s="23"/>
    </row>
    <row r="24" spans="1:41" s="2" customForma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AK24" s="26"/>
      <c r="AL24" s="23"/>
      <c r="AM24" s="23"/>
    </row>
    <row r="25" spans="1:41" s="2" customFormat="1" x14ac:dyDescent="0.25">
      <c r="A25" s="18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AK25" s="26"/>
      <c r="AL25" s="23"/>
      <c r="AM25" s="23"/>
    </row>
    <row r="26" spans="1:41" x14ac:dyDescent="0.25">
      <c r="A26" s="18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</row>
    <row r="27" spans="1:41" x14ac:dyDescent="0.25">
      <c r="A27" s="18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</row>
    <row r="28" spans="1:41" x14ac:dyDescent="0.25">
      <c r="A28" s="18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</row>
    <row r="29" spans="1:41" x14ac:dyDescent="0.25">
      <c r="A29" s="18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</row>
    <row r="30" spans="1:41" x14ac:dyDescent="0.25">
      <c r="A30" s="18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41" x14ac:dyDescent="0.25">
      <c r="A31" s="18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</row>
    <row r="32" spans="1:41" x14ac:dyDescent="0.25">
      <c r="A32" s="18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</row>
    <row r="33" spans="1:23" x14ac:dyDescent="0.25">
      <c r="A33" s="18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</row>
    <row r="34" spans="1:23" x14ac:dyDescent="0.25">
      <c r="A34" s="18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</row>
    <row r="35" spans="1:23" x14ac:dyDescent="0.25">
      <c r="A35" s="18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sheetProtection algorithmName="SHA-512" hashValue="uRRCdCpjiBr+eVnYQ9AcaXmskKxfitCsHtA6IP1cpua7evG+iOFSqD/sMsHu2MqrAg3BC4gvpbSDTIVB4+7OHA==" saltValue="qVwm8Ac24p7TjJIWCmMAmQ==" spinCount="100000" sheet="1" objects="1" scenarios="1" selectLockedCells="1"/>
  <mergeCells count="6">
    <mergeCell ref="C2:D2"/>
    <mergeCell ref="C3:D3"/>
    <mergeCell ref="C4:D4"/>
    <mergeCell ref="I4:K6"/>
    <mergeCell ref="C6:D6"/>
    <mergeCell ref="E2:G2"/>
  </mergeCells>
  <dataValidations count="1">
    <dataValidation type="list" allowBlank="1" showInputMessage="1" showErrorMessage="1" sqref="E4" xr:uid="{00000000-0002-0000-0000-000000000000}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"/>
  <sheetViews>
    <sheetView showGridLines="0" topLeftCell="B1" zoomScale="115" zoomScaleNormal="115" workbookViewId="0">
      <selection activeCell="E4" sqref="E4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6.140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8" width="13.42578125" style="25" bestFit="1" customWidth="1"/>
    <col min="39" max="39" width="13" style="25" bestFit="1" customWidth="1"/>
    <col min="40" max="40" width="6.425781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1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1">
        <v>30</v>
      </c>
      <c r="AL2" s="23">
        <v>500000</v>
      </c>
      <c r="AM2" s="24">
        <v>25989.41</v>
      </c>
      <c r="AN2" s="22">
        <f>RATE(AK2,AM2,-AL2,0,0)</f>
        <v>3.1448002598047198E-2</v>
      </c>
      <c r="AO2" s="22">
        <f>AN2/1.16</f>
        <v>2.7110347067282069E-2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14" t="s">
        <v>2</v>
      </c>
      <c r="F3" s="3"/>
      <c r="G3" s="3"/>
      <c r="H3" s="3"/>
      <c r="I3" s="45" t="s">
        <v>25</v>
      </c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1">
        <v>36</v>
      </c>
      <c r="AL3" s="23">
        <v>500000</v>
      </c>
      <c r="AM3" s="24">
        <v>23399.38</v>
      </c>
      <c r="AN3" s="22">
        <f>RATE(AK3,AM3,-AL3,0,0)</f>
        <v>3.1447977708951531E-2</v>
      </c>
      <c r="AO3" s="22">
        <f>AN3/1.16</f>
        <v>2.7110325611165116E-2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1">
        <v>42</v>
      </c>
      <c r="AL4" s="23">
        <v>500000</v>
      </c>
      <c r="AM4" s="24">
        <v>21610.86</v>
      </c>
      <c r="AN4" s="22">
        <f>RATE(AK4,AM4,-AL4,0,0)</f>
        <v>3.1447992590636832E-2</v>
      </c>
      <c r="AO4" s="22">
        <f>AN4/1.16</f>
        <v>2.7110338440204166E-2</v>
      </c>
    </row>
    <row r="5" spans="1:41" s="2" customFormat="1" x14ac:dyDescent="0.25">
      <c r="A5" s="18"/>
      <c r="B5" s="3"/>
      <c r="C5" s="14"/>
      <c r="D5" s="14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1">
        <v>48</v>
      </c>
      <c r="AL5" s="23">
        <v>500000</v>
      </c>
      <c r="AM5" s="24">
        <v>20320.97</v>
      </c>
      <c r="AN5" s="22">
        <f>RATE(AK5,AM5,-AL5,0,0)</f>
        <v>3.1447980144796148E-2</v>
      </c>
      <c r="AO5" s="22">
        <f>AN5/1.16</f>
        <v>2.7110327711031165E-2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200000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1">
        <v>54</v>
      </c>
      <c r="AL6" s="23">
        <v>500000</v>
      </c>
      <c r="AM6" s="24">
        <v>19361.29</v>
      </c>
      <c r="AN6" s="22">
        <f t="shared" ref="AN6:AN7" si="0">RATE(AK6,AM6,-AL6,0,0)</f>
        <v>3.144799717800905E-2</v>
      </c>
      <c r="AO6" s="22">
        <f t="shared" ref="AO6:AO7" si="1">AN6/1.16</f>
        <v>2.7110342394835389E-2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5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1">
        <v>60</v>
      </c>
      <c r="AL7" s="23">
        <v>500000</v>
      </c>
      <c r="AM7" s="24">
        <v>18630.61</v>
      </c>
      <c r="AN7" s="22">
        <f t="shared" si="0"/>
        <v>3.1447999481000681E-2</v>
      </c>
      <c r="AO7" s="22">
        <f t="shared" si="1"/>
        <v>2.7110344380173002E-2</v>
      </c>
    </row>
    <row r="8" spans="1:41" s="2" customFormat="1" x14ac:dyDescent="0.25">
      <c r="A8" s="18"/>
      <c r="B8" s="3"/>
      <c r="C8" s="9" t="s">
        <v>3</v>
      </c>
      <c r="D8" s="9" t="s">
        <v>4</v>
      </c>
      <c r="E8" s="9" t="s">
        <v>5</v>
      </c>
      <c r="F8" s="9" t="s">
        <v>19</v>
      </c>
      <c r="G8" s="9" t="s">
        <v>20</v>
      </c>
      <c r="H8" s="9" t="s">
        <v>10</v>
      </c>
      <c r="I8" s="9" t="s">
        <v>7</v>
      </c>
      <c r="J8" s="9" t="s">
        <v>11</v>
      </c>
      <c r="K8" s="9" t="s">
        <v>12</v>
      </c>
      <c r="L8" s="9" t="s">
        <v>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AL8" s="23"/>
      <c r="AM8" s="23"/>
      <c r="AN8" s="22"/>
      <c r="AO8" s="22"/>
    </row>
    <row r="9" spans="1:41" s="2" customFormat="1" x14ac:dyDescent="0.25">
      <c r="A9" s="17">
        <v>30</v>
      </c>
      <c r="B9" s="3"/>
      <c r="C9" s="10" t="str">
        <f t="shared" ref="C9:C10" si="2">CONCATENATE(A9," M")</f>
        <v>30 M</v>
      </c>
      <c r="D9" s="20">
        <f>IF(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&gt;=40000,
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,
0)</f>
        <v>200000</v>
      </c>
      <c r="E9" s="11">
        <f t="shared" ref="E9:E14" si="3">-PMT(F9,A9,D9,,0)</f>
        <v>10395.764000000016</v>
      </c>
      <c r="F9" s="12">
        <f t="shared" ref="F9:F14" si="4">VLOOKUP(A9,AK:AO,4,0)</f>
        <v>3.1448002598047198E-2</v>
      </c>
      <c r="G9" s="12">
        <f t="shared" ref="G9:G14" si="5">VLOOKUP(A9,AK:AO,5,0)</f>
        <v>2.7110347067282069E-2</v>
      </c>
      <c r="H9" s="12">
        <f t="shared" ref="H9:H14" si="6">IFERROR(((L9-I9)/I9)/A9,0)</f>
        <v>1.8645486666666742E-2</v>
      </c>
      <c r="I9" s="11">
        <f t="shared" ref="I9:I14" si="7">D9</f>
        <v>200000</v>
      </c>
      <c r="J9" s="11">
        <f t="shared" ref="J9:J14" si="8">(L9-I9)/1.16</f>
        <v>96442.172413793494</v>
      </c>
      <c r="K9" s="11">
        <f t="shared" ref="K9:K14" si="9">J9*16%</f>
        <v>15430.747586206959</v>
      </c>
      <c r="L9" s="11">
        <f t="shared" ref="L9:L14" si="10">E9*A9</f>
        <v>311872.92000000045</v>
      </c>
      <c r="M9" s="7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36</v>
      </c>
      <c r="B10" s="3"/>
      <c r="C10" s="10" t="str">
        <f t="shared" si="2"/>
        <v>36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20000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200000</v>
      </c>
      <c r="E10" s="11">
        <f t="shared" si="3"/>
        <v>9359.7520000003369</v>
      </c>
      <c r="F10" s="12">
        <f t="shared" si="4"/>
        <v>3.1447977708951531E-2</v>
      </c>
      <c r="G10" s="12">
        <f t="shared" si="5"/>
        <v>2.7110325611165116E-2</v>
      </c>
      <c r="H10" s="12">
        <f t="shared" si="6"/>
        <v>1.9020982222223912E-2</v>
      </c>
      <c r="I10" s="11">
        <f t="shared" si="7"/>
        <v>200000</v>
      </c>
      <c r="J10" s="11">
        <f t="shared" si="8"/>
        <v>118061.26896552772</v>
      </c>
      <c r="K10" s="11">
        <f t="shared" si="9"/>
        <v>18889.803034484437</v>
      </c>
      <c r="L10" s="11">
        <f t="shared" si="10"/>
        <v>336951.07200001215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42</v>
      </c>
      <c r="B11" s="3"/>
      <c r="C11" s="10" t="str">
        <f>CONCATENATE(A11," M")</f>
        <v>42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5000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200000</v>
      </c>
      <c r="E11" s="11">
        <f t="shared" si="3"/>
        <v>8644.344000000001</v>
      </c>
      <c r="F11" s="12">
        <f t="shared" si="4"/>
        <v>3.1447992590636832E-2</v>
      </c>
      <c r="G11" s="12">
        <f t="shared" si="5"/>
        <v>2.7110338440204166E-2</v>
      </c>
      <c r="H11" s="12">
        <f t="shared" si="6"/>
        <v>1.9412196190476193E-2</v>
      </c>
      <c r="I11" s="11">
        <f t="shared" si="7"/>
        <v>200000</v>
      </c>
      <c r="J11" s="11">
        <f t="shared" si="8"/>
        <v>140571.075862069</v>
      </c>
      <c r="K11" s="11">
        <f t="shared" si="9"/>
        <v>22491.372137931041</v>
      </c>
      <c r="L11" s="11">
        <f t="shared" si="10"/>
        <v>363062.44800000003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</row>
    <row r="12" spans="1:41" s="2" customFormat="1" x14ac:dyDescent="0.25">
      <c r="A12" s="17">
        <v>48</v>
      </c>
      <c r="B12" s="3"/>
      <c r="C12" s="10" t="str">
        <f t="shared" ref="C12:C14" si="11">CONCATENATE(A12," M")</f>
        <v>48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200000</v>
      </c>
      <c r="E12" s="11">
        <f t="shared" si="3"/>
        <v>8128.3880000000026</v>
      </c>
      <c r="F12" s="12">
        <f t="shared" si="4"/>
        <v>3.1447980144796148E-2</v>
      </c>
      <c r="G12" s="12">
        <f t="shared" si="5"/>
        <v>2.7110327711031165E-2</v>
      </c>
      <c r="H12" s="12">
        <f t="shared" si="6"/>
        <v>1.980860666666668E-2</v>
      </c>
      <c r="I12" s="11">
        <f t="shared" si="7"/>
        <v>200000</v>
      </c>
      <c r="J12" s="11">
        <f t="shared" si="8"/>
        <v>163933.29655172426</v>
      </c>
      <c r="K12" s="11">
        <f t="shared" si="9"/>
        <v>26229.327448275882</v>
      </c>
      <c r="L12" s="11">
        <f t="shared" si="10"/>
        <v>390162.62400000013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54</v>
      </c>
      <c r="B13" s="3"/>
      <c r="C13" s="10" t="str">
        <f t="shared" si="11"/>
        <v>54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200000</v>
      </c>
      <c r="E13" s="11">
        <f t="shared" si="3"/>
        <v>7744.5160000002079</v>
      </c>
      <c r="F13" s="12">
        <f t="shared" si="4"/>
        <v>3.144799717800905E-2</v>
      </c>
      <c r="G13" s="12">
        <f t="shared" si="5"/>
        <v>2.7110342394835389E-2</v>
      </c>
      <c r="H13" s="12">
        <f t="shared" si="6"/>
        <v>2.0204061481482523E-2</v>
      </c>
      <c r="I13" s="11">
        <f t="shared" si="7"/>
        <v>200000</v>
      </c>
      <c r="J13" s="11">
        <f t="shared" si="8"/>
        <v>188106.77931035453</v>
      </c>
      <c r="K13" s="11">
        <f t="shared" si="9"/>
        <v>30097.084689656724</v>
      </c>
      <c r="L13" s="11">
        <f t="shared" si="10"/>
        <v>418203.86400001124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60</v>
      </c>
      <c r="B14" s="3"/>
      <c r="C14" s="10" t="str">
        <f t="shared" si="11"/>
        <v>60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200000</v>
      </c>
      <c r="E14" s="11">
        <f t="shared" si="3"/>
        <v>7452.244000000007</v>
      </c>
      <c r="F14" s="12">
        <f t="shared" si="4"/>
        <v>3.1447999481000681E-2</v>
      </c>
      <c r="G14" s="12">
        <f t="shared" si="5"/>
        <v>2.7110344380173002E-2</v>
      </c>
      <c r="H14" s="12">
        <f t="shared" si="6"/>
        <v>2.0594553333333369E-2</v>
      </c>
      <c r="I14" s="11">
        <f t="shared" si="7"/>
        <v>200000</v>
      </c>
      <c r="J14" s="11">
        <f t="shared" si="8"/>
        <v>213047.10344827623</v>
      </c>
      <c r="K14" s="11">
        <f t="shared" si="9"/>
        <v>34087.536551724195</v>
      </c>
      <c r="L14" s="11">
        <f t="shared" si="10"/>
        <v>447134.64000000042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8"/>
      <c r="B15" s="3"/>
      <c r="C15" s="15" t="s">
        <v>8</v>
      </c>
      <c r="D15" s="3"/>
      <c r="E15" s="3"/>
      <c r="F15" s="3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  <c r="AN15" s="22"/>
      <c r="AO15" s="22"/>
    </row>
    <row r="16" spans="1:41" s="2" customFormat="1" x14ac:dyDescent="0.25">
      <c r="A16" s="18"/>
      <c r="B16" s="3"/>
      <c r="C16" s="15" t="s">
        <v>18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sheetProtection algorithmName="SHA-512" hashValue="sTmBKZWQiesVO5TW9juoE7bZCP2BzpD0snPGJP266Klgb1fAmYI9oTd1/v7YNxZ4zP7vMP8AYAJDUrWX7rExXw==" saltValue="PX8ti+oNJD83rpXvrH3naQ==" spinCount="100000" sheet="1" objects="1" scenarios="1" selectLockedCells="1"/>
  <mergeCells count="6">
    <mergeCell ref="C2:D2"/>
    <mergeCell ref="E2:G2"/>
    <mergeCell ref="C3:D3"/>
    <mergeCell ref="I3:K6"/>
    <mergeCell ref="C4:D4"/>
    <mergeCell ref="C6:D6"/>
  </mergeCells>
  <dataValidations count="1">
    <dataValidation type="list" allowBlank="1" showInputMessage="1" showErrorMessage="1" sqref="E4" xr:uid="{00000000-0002-0000-0100-000000000000}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0"/>
  <sheetViews>
    <sheetView showGridLines="0" topLeftCell="B1" zoomScale="115" zoomScaleNormal="115" workbookViewId="0">
      <selection activeCell="E6" sqref="E6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4.28515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8" width="13.42578125" style="25" bestFit="1" customWidth="1"/>
    <col min="39" max="39" width="13" style="25" bestFit="1" customWidth="1"/>
    <col min="40" max="40" width="6.425781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1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45" t="s">
        <v>26</v>
      </c>
      <c r="J2" s="45"/>
      <c r="K2" s="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1">
        <v>30</v>
      </c>
      <c r="AL2" s="23">
        <v>500000</v>
      </c>
      <c r="AM2" s="24">
        <v>25196.202781279037</v>
      </c>
      <c r="AN2" s="22">
        <f>RATE(AK2,AM2,-AL2,0,0)</f>
        <v>2.904643353558832E-2</v>
      </c>
      <c r="AO2" s="22">
        <f>AN2/1.16</f>
        <v>2.5040028909989933E-2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14" t="s">
        <v>2</v>
      </c>
      <c r="F3" s="3"/>
      <c r="G3" s="3"/>
      <c r="H3" s="3"/>
      <c r="I3" s="45"/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1">
        <v>36</v>
      </c>
      <c r="AL3" s="23">
        <v>500000</v>
      </c>
      <c r="AM3" s="24">
        <v>22577.210768731209</v>
      </c>
      <c r="AN3" s="22">
        <f>RATE(AK3,AM3,-AL3,0,0)</f>
        <v>2.9046433535588216E-2</v>
      </c>
      <c r="AO3" s="22">
        <f>AN3/1.16</f>
        <v>2.5040028909989843E-2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1">
        <v>42</v>
      </c>
      <c r="AL4" s="23">
        <v>500000</v>
      </c>
      <c r="AM4" s="24">
        <v>20759.956540300034</v>
      </c>
      <c r="AN4" s="22">
        <f>RATE(AK4,AM4,-AL4,0,0)</f>
        <v>2.9046433535588636E-2</v>
      </c>
      <c r="AO4" s="22">
        <f>AN4/1.16</f>
        <v>2.5040028909990204E-2</v>
      </c>
    </row>
    <row r="5" spans="1:41" s="2" customFormat="1" x14ac:dyDescent="0.25">
      <c r="A5" s="18"/>
      <c r="B5" s="3"/>
      <c r="C5" s="14"/>
      <c r="D5" s="14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1">
        <v>48</v>
      </c>
      <c r="AL5" s="23">
        <v>500000</v>
      </c>
      <c r="AM5" s="24">
        <v>19442.069858700168</v>
      </c>
      <c r="AN5" s="22">
        <f>RATE(AK5,AM5,-AL5,0,0)</f>
        <v>2.9046433535588365E-2</v>
      </c>
      <c r="AO5" s="22">
        <f>AN5/1.16</f>
        <v>2.5040028909989971E-2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184000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1">
        <v>54</v>
      </c>
      <c r="AL6" s="23">
        <v>500000</v>
      </c>
      <c r="AM6" s="24">
        <v>18455.414235000982</v>
      </c>
      <c r="AN6" s="22">
        <f t="shared" ref="AN6:AN7" si="0">RATE(AK6,AM6,-AL6,0,0)</f>
        <v>2.9046433535588376E-2</v>
      </c>
      <c r="AO6" s="22">
        <f t="shared" ref="AO6:AO7" si="1">AN6/1.16</f>
        <v>2.5040028909989982E-2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5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1">
        <v>60</v>
      </c>
      <c r="AL7" s="23">
        <v>500000</v>
      </c>
      <c r="AM7" s="24">
        <v>17698.996155943387</v>
      </c>
      <c r="AN7" s="22">
        <f t="shared" si="0"/>
        <v>2.9046433535588497E-2</v>
      </c>
      <c r="AO7" s="22">
        <f t="shared" si="1"/>
        <v>2.5040028909990086E-2</v>
      </c>
    </row>
    <row r="8" spans="1:41" s="2" customFormat="1" x14ac:dyDescent="0.25">
      <c r="A8" s="18"/>
      <c r="B8" s="3"/>
      <c r="C8" s="9" t="s">
        <v>3</v>
      </c>
      <c r="D8" s="9" t="s">
        <v>4</v>
      </c>
      <c r="E8" s="9" t="s">
        <v>5</v>
      </c>
      <c r="F8" s="9" t="s">
        <v>19</v>
      </c>
      <c r="G8" s="9" t="s">
        <v>20</v>
      </c>
      <c r="H8" s="9" t="s">
        <v>10</v>
      </c>
      <c r="I8" s="9" t="s">
        <v>7</v>
      </c>
      <c r="J8" s="9" t="s">
        <v>11</v>
      </c>
      <c r="K8" s="9" t="s">
        <v>12</v>
      </c>
      <c r="L8" s="9" t="s">
        <v>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AL8" s="23"/>
      <c r="AM8" s="23"/>
      <c r="AN8" s="22"/>
      <c r="AO8" s="22"/>
    </row>
    <row r="9" spans="1:41" s="2" customFormat="1" x14ac:dyDescent="0.25">
      <c r="A9" s="17">
        <v>30</v>
      </c>
      <c r="B9" s="3"/>
      <c r="C9" s="10" t="str">
        <f t="shared" ref="C9:C10" si="2">CONCATENATE(A9," M")</f>
        <v>30 M</v>
      </c>
      <c r="D9" s="20">
        <f>IF(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&gt;=40000,
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,
0)</f>
        <v>184000</v>
      </c>
      <c r="E9" s="11">
        <f t="shared" ref="E9:E14" si="3">-PMT(F9,A9,D9,,0)</f>
        <v>9272.2026235106769</v>
      </c>
      <c r="F9" s="12">
        <f t="shared" ref="F9:F14" si="4">VLOOKUP(A9,AK:AO,4,0)</f>
        <v>2.904643353558832E-2</v>
      </c>
      <c r="G9" s="12">
        <f t="shared" ref="G9:G14" si="5">VLOOKUP(A9,AK:AO,5,0)</f>
        <v>2.5040028909989933E-2</v>
      </c>
      <c r="H9" s="12">
        <f t="shared" ref="H9:H14" si="6">IFERROR(((L9-I9)/I9)/A9,0)</f>
        <v>1.7059072229224693E-2</v>
      </c>
      <c r="I9" s="11">
        <f t="shared" ref="I9:I14" si="7">D9</f>
        <v>184000</v>
      </c>
      <c r="J9" s="11">
        <f t="shared" ref="J9:J14" si="8">(L9-I9)/1.16</f>
        <v>81177.65405631061</v>
      </c>
      <c r="K9" s="11">
        <f t="shared" ref="K9:K14" si="9">J9*16%</f>
        <v>12988.424649009698</v>
      </c>
      <c r="L9" s="11">
        <f t="shared" ref="L9:L14" si="10">E9*A9</f>
        <v>278166.07870532031</v>
      </c>
      <c r="M9" s="7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36</v>
      </c>
      <c r="B10" s="3"/>
      <c r="C10" s="10" t="str">
        <f t="shared" si="2"/>
        <v>36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20000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184000</v>
      </c>
      <c r="E10" s="11">
        <f t="shared" si="3"/>
        <v>8308.4135628930635</v>
      </c>
      <c r="F10" s="12">
        <f t="shared" si="4"/>
        <v>2.9046433535588216E-2</v>
      </c>
      <c r="G10" s="12">
        <f t="shared" si="5"/>
        <v>2.5040028909989843E-2</v>
      </c>
      <c r="H10" s="12">
        <f t="shared" si="6"/>
        <v>1.7376643759684524E-2</v>
      </c>
      <c r="I10" s="11">
        <f t="shared" si="7"/>
        <v>184000</v>
      </c>
      <c r="J10" s="11">
        <f t="shared" si="8"/>
        <v>99226.627813922678</v>
      </c>
      <c r="K10" s="11">
        <f t="shared" si="9"/>
        <v>15876.260450227628</v>
      </c>
      <c r="L10" s="11">
        <f t="shared" si="10"/>
        <v>299102.8882641503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42</v>
      </c>
      <c r="B11" s="3"/>
      <c r="C11" s="10" t="str">
        <f>CONCATENATE(A11," M")</f>
        <v>42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5000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184000</v>
      </c>
      <c r="E11" s="11">
        <f t="shared" si="3"/>
        <v>7639.6640068304441</v>
      </c>
      <c r="F11" s="12">
        <f t="shared" si="4"/>
        <v>2.9046433535588636E-2</v>
      </c>
      <c r="G11" s="12">
        <f t="shared" si="5"/>
        <v>2.5040028909990204E-2</v>
      </c>
      <c r="H11" s="12">
        <f t="shared" si="6"/>
        <v>1.7710389271076429E-2</v>
      </c>
      <c r="I11" s="11">
        <f t="shared" si="7"/>
        <v>184000</v>
      </c>
      <c r="J11" s="11">
        <f t="shared" si="8"/>
        <v>117987.8347300678</v>
      </c>
      <c r="K11" s="11">
        <f t="shared" si="9"/>
        <v>18878.05355681085</v>
      </c>
      <c r="L11" s="11">
        <f t="shared" si="10"/>
        <v>320865.88828687865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</row>
    <row r="12" spans="1:41" s="2" customFormat="1" x14ac:dyDescent="0.25">
      <c r="A12" s="17">
        <v>48</v>
      </c>
      <c r="B12" s="3"/>
      <c r="C12" s="10" t="str">
        <f t="shared" ref="C12:C13" si="11">CONCATENATE(A12," M")</f>
        <v>48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184000</v>
      </c>
      <c r="E12" s="11">
        <f t="shared" si="3"/>
        <v>7154.6817080016572</v>
      </c>
      <c r="F12" s="12">
        <f t="shared" si="4"/>
        <v>2.9046433535588365E-2</v>
      </c>
      <c r="G12" s="12">
        <f t="shared" si="5"/>
        <v>2.5040028909989971E-2</v>
      </c>
      <c r="H12" s="12">
        <f t="shared" si="6"/>
        <v>1.8050806384066979E-2</v>
      </c>
      <c r="I12" s="11">
        <f t="shared" si="7"/>
        <v>184000</v>
      </c>
      <c r="J12" s="11">
        <f t="shared" si="8"/>
        <v>137435.10515868929</v>
      </c>
      <c r="K12" s="11">
        <f t="shared" si="9"/>
        <v>21989.616825390287</v>
      </c>
      <c r="L12" s="11">
        <f t="shared" si="10"/>
        <v>343424.72198407957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54</v>
      </c>
      <c r="B13" s="3"/>
      <c r="C13" s="10" t="str">
        <f t="shared" si="11"/>
        <v>54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184000</v>
      </c>
      <c r="E13" s="11">
        <f t="shared" si="3"/>
        <v>6791.5924384803593</v>
      </c>
      <c r="F13" s="12">
        <f t="shared" si="4"/>
        <v>2.9046433535588376E-2</v>
      </c>
      <c r="G13" s="12">
        <f t="shared" si="5"/>
        <v>2.5040028909989982E-2</v>
      </c>
      <c r="H13" s="12">
        <f t="shared" si="6"/>
        <v>1.8392309951483436E-2</v>
      </c>
      <c r="I13" s="11">
        <f t="shared" si="7"/>
        <v>184000</v>
      </c>
      <c r="J13" s="11">
        <f t="shared" si="8"/>
        <v>157539.64799822366</v>
      </c>
      <c r="K13" s="11">
        <f t="shared" si="9"/>
        <v>25206.343679715788</v>
      </c>
      <c r="L13" s="11">
        <f t="shared" si="10"/>
        <v>366745.99167793943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60</v>
      </c>
      <c r="B14" s="3"/>
      <c r="C14" s="10" t="str">
        <f t="shared" ref="C14" si="12">CONCATENATE(A14," M")</f>
        <v>60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184000</v>
      </c>
      <c r="E14" s="11">
        <f t="shared" si="3"/>
        <v>6513.2305853871803</v>
      </c>
      <c r="F14" s="12">
        <f t="shared" si="4"/>
        <v>2.9046433535588497E-2</v>
      </c>
      <c r="G14" s="12">
        <f t="shared" si="5"/>
        <v>2.5040028909990086E-2</v>
      </c>
      <c r="H14" s="12">
        <f t="shared" si="6"/>
        <v>1.8731325645220183E-2</v>
      </c>
      <c r="I14" s="11">
        <f t="shared" si="7"/>
        <v>184000</v>
      </c>
      <c r="J14" s="11">
        <f t="shared" si="8"/>
        <v>178270.54752002659</v>
      </c>
      <c r="K14" s="11">
        <f t="shared" si="9"/>
        <v>28523.287603204255</v>
      </c>
      <c r="L14" s="11">
        <f t="shared" si="10"/>
        <v>390793.83512323082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8"/>
      <c r="B15" s="3"/>
      <c r="C15" s="15" t="s">
        <v>8</v>
      </c>
      <c r="D15" s="3"/>
      <c r="E15" s="3"/>
      <c r="F15" s="3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  <c r="AN15" s="22"/>
      <c r="AO15" s="22"/>
    </row>
    <row r="16" spans="1:41" s="2" customFormat="1" x14ac:dyDescent="0.25">
      <c r="A16" s="18"/>
      <c r="B16" s="3"/>
      <c r="C16" s="15" t="s">
        <v>18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sheetProtection algorithmName="SHA-512" hashValue="gbJlsoSBCO5lJ86t5RthYsL1dtmeSemu+I4mGRL4kP8oHr3vYinvN+ZTCGPFFuubhhkzWhuLHDEOiCDhtt37YQ==" saltValue="/TadYzbuJ0B1uR2KZLS+Qg==" spinCount="100000" sheet="1" objects="1" scenarios="1" selectLockedCells="1"/>
  <mergeCells count="6">
    <mergeCell ref="I2:K6"/>
    <mergeCell ref="C2:D2"/>
    <mergeCell ref="C3:D3"/>
    <mergeCell ref="C4:D4"/>
    <mergeCell ref="C6:D6"/>
    <mergeCell ref="E2:G2"/>
  </mergeCells>
  <dataValidations count="1">
    <dataValidation type="list" allowBlank="1" showInputMessage="1" showErrorMessage="1" sqref="E4" xr:uid="{00000000-0002-0000-0200-000000000000}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50"/>
  <sheetViews>
    <sheetView showGridLines="0" topLeftCell="B1" zoomScale="130" zoomScaleNormal="130" workbookViewId="0">
      <selection activeCell="E4" sqref="E4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4.28515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8" width="13.140625" style="25" bestFit="1" customWidth="1"/>
    <col min="39" max="39" width="13" style="25" bestFit="1" customWidth="1"/>
    <col min="40" max="40" width="6.285156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8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45" t="s">
        <v>29</v>
      </c>
      <c r="J2" s="45"/>
      <c r="K2" s="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8">
        <v>30</v>
      </c>
      <c r="AL2" s="23">
        <v>500000</v>
      </c>
      <c r="AM2" s="32">
        <v>24696.49</v>
      </c>
      <c r="AN2" s="22">
        <f>RATE(AK2,AM2,-AL2,0,0)</f>
        <v>2.7513202087384211E-2</v>
      </c>
      <c r="AO2" s="22">
        <f>AN2/1.16</f>
        <v>2.3718277661538115E-2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31" t="s">
        <v>2</v>
      </c>
      <c r="F3" s="3"/>
      <c r="G3" s="3"/>
      <c r="H3" s="3"/>
      <c r="I3" s="45"/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8">
        <v>36</v>
      </c>
      <c r="AL3" s="23">
        <v>500000</v>
      </c>
      <c r="AM3" s="32">
        <v>22060.09</v>
      </c>
      <c r="AN3" s="22">
        <f>RATE(AK3,AM3,-AL3,0,0)</f>
        <v>2.7513212689282352E-2</v>
      </c>
      <c r="AO3" s="22">
        <f>AN3/1.16</f>
        <v>2.3718286801105479E-2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8">
        <v>42</v>
      </c>
      <c r="AL4" s="23">
        <v>500000</v>
      </c>
      <c r="AM4" s="32">
        <v>20225.45</v>
      </c>
      <c r="AN4" s="22">
        <f>RATE(AK4,AM4,-AL4,0,0)</f>
        <v>2.7513206199660422E-2</v>
      </c>
      <c r="AO4" s="22">
        <f>AN4/1.16</f>
        <v>2.3718281206603815E-2</v>
      </c>
    </row>
    <row r="5" spans="1:41" s="2" customFormat="1" x14ac:dyDescent="0.25">
      <c r="A5" s="18"/>
      <c r="B5" s="3"/>
      <c r="C5" s="31"/>
      <c r="D5" s="31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8">
        <v>48</v>
      </c>
      <c r="AL5" s="23">
        <v>500000</v>
      </c>
      <c r="AM5" s="32">
        <v>18890.509999999998</v>
      </c>
      <c r="AN5" s="22">
        <f>RATE(AK5,AM5,-AL5,0,0)</f>
        <v>2.7513210765333626E-2</v>
      </c>
      <c r="AO5" s="22">
        <f>AN5/1.16</f>
        <v>2.3718285142528991E-2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300000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8">
        <v>54</v>
      </c>
      <c r="AL6" s="23">
        <v>500000</v>
      </c>
      <c r="AM6" s="32">
        <v>17887.310000000001</v>
      </c>
      <c r="AN6" s="22">
        <f t="shared" ref="AN6:AN7" si="0">RATE(AK6,AM6,-AL6,0,0)</f>
        <v>2.7513193273287918E-2</v>
      </c>
      <c r="AO6" s="22">
        <f t="shared" ref="AO6:AO7" si="1">AN6/1.16</f>
        <v>2.3718270063179243E-2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5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8">
        <v>60</v>
      </c>
      <c r="AL7" s="23">
        <v>500000</v>
      </c>
      <c r="AM7" s="32">
        <v>17115</v>
      </c>
      <c r="AN7" s="22">
        <f t="shared" si="0"/>
        <v>2.7513202645306132E-2</v>
      </c>
      <c r="AO7" s="22">
        <f t="shared" si="1"/>
        <v>2.3718278142505288E-2</v>
      </c>
    </row>
    <row r="8" spans="1:41" s="2" customFormat="1" x14ac:dyDescent="0.25">
      <c r="A8" s="18"/>
      <c r="B8" s="3"/>
      <c r="C8" s="9" t="s">
        <v>3</v>
      </c>
      <c r="D8" s="9" t="s">
        <v>4</v>
      </c>
      <c r="E8" s="9" t="s">
        <v>5</v>
      </c>
      <c r="F8" s="9" t="s">
        <v>19</v>
      </c>
      <c r="G8" s="9" t="s">
        <v>20</v>
      </c>
      <c r="H8" s="9" t="s">
        <v>10</v>
      </c>
      <c r="I8" s="9" t="s">
        <v>7</v>
      </c>
      <c r="J8" s="9" t="s">
        <v>11</v>
      </c>
      <c r="K8" s="9" t="s">
        <v>12</v>
      </c>
      <c r="L8" s="9" t="s">
        <v>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AL8" s="23"/>
      <c r="AM8" s="23"/>
      <c r="AN8" s="22"/>
      <c r="AO8" s="22"/>
    </row>
    <row r="9" spans="1:41" s="2" customFormat="1" x14ac:dyDescent="0.25">
      <c r="A9" s="17">
        <v>30</v>
      </c>
      <c r="B9" s="3"/>
      <c r="C9" s="10" t="str">
        <f t="shared" ref="C9:C10" si="2">CONCATENATE(A9," M")</f>
        <v>30 M</v>
      </c>
      <c r="D9" s="20">
        <f>IF(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&gt;=40000,
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,
0)</f>
        <v>300000</v>
      </c>
      <c r="E9" s="11">
        <f t="shared" ref="E9:E14" si="3">-PMT(F9,A9,D9,,0)</f>
        <v>14817.89399999998</v>
      </c>
      <c r="F9" s="12">
        <f t="shared" ref="F9:F14" si="4">VLOOKUP(A9,AK:AO,4,0)</f>
        <v>2.7513202087384211E-2</v>
      </c>
      <c r="G9" s="12">
        <f t="shared" ref="G9:G14" si="5">VLOOKUP(A9,AK:AO,5,0)</f>
        <v>2.3718277661538115E-2</v>
      </c>
      <c r="H9" s="12">
        <f t="shared" ref="H9:H14" si="6">IFERROR(((L9-I9)/I9)/A9,0)</f>
        <v>1.6059646666666604E-2</v>
      </c>
      <c r="I9" s="11">
        <f t="shared" ref="I9:I14" si="7">D9</f>
        <v>300000</v>
      </c>
      <c r="J9" s="11">
        <f t="shared" ref="J9:J14" si="8">(L9-I9)/1.16</f>
        <v>124600.70689655123</v>
      </c>
      <c r="K9" s="11">
        <f t="shared" ref="K9:K14" si="9">J9*16%</f>
        <v>19936.113103448199</v>
      </c>
      <c r="L9" s="11">
        <f t="shared" ref="L9:L14" si="10">E9*A9</f>
        <v>444536.81999999942</v>
      </c>
      <c r="M9" s="7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36</v>
      </c>
      <c r="B10" s="3"/>
      <c r="C10" s="10" t="str">
        <f t="shared" si="2"/>
        <v>36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20000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300000</v>
      </c>
      <c r="E10" s="11">
        <f t="shared" si="3"/>
        <v>13236.053999999996</v>
      </c>
      <c r="F10" s="12">
        <f t="shared" si="4"/>
        <v>2.7513212689282352E-2</v>
      </c>
      <c r="G10" s="12">
        <f t="shared" si="5"/>
        <v>2.3718286801105479E-2</v>
      </c>
      <c r="H10" s="12">
        <f t="shared" si="6"/>
        <v>1.6342402222222212E-2</v>
      </c>
      <c r="I10" s="11">
        <f t="shared" si="7"/>
        <v>300000</v>
      </c>
      <c r="J10" s="11">
        <f t="shared" si="8"/>
        <v>152153.39999999994</v>
      </c>
      <c r="K10" s="11">
        <f t="shared" si="9"/>
        <v>24344.543999999991</v>
      </c>
      <c r="L10" s="11">
        <f t="shared" si="10"/>
        <v>476497.9439999999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42</v>
      </c>
      <c r="B11" s="3"/>
      <c r="C11" s="10" t="str">
        <f>CONCATENATE(A11," M")</f>
        <v>42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5000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300000</v>
      </c>
      <c r="E11" s="11">
        <f t="shared" si="3"/>
        <v>12135.27000000009</v>
      </c>
      <c r="F11" s="12">
        <f t="shared" si="4"/>
        <v>2.7513206199660422E-2</v>
      </c>
      <c r="G11" s="12">
        <f t="shared" si="5"/>
        <v>2.3718281206603815E-2</v>
      </c>
      <c r="H11" s="12">
        <f t="shared" si="6"/>
        <v>1.6641376190476488E-2</v>
      </c>
      <c r="I11" s="11">
        <f t="shared" si="7"/>
        <v>300000</v>
      </c>
      <c r="J11" s="11">
        <f t="shared" si="8"/>
        <v>180759.77586207222</v>
      </c>
      <c r="K11" s="11">
        <f t="shared" si="9"/>
        <v>28921.564137931557</v>
      </c>
      <c r="L11" s="11">
        <f t="shared" si="10"/>
        <v>509681.34000000375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</row>
    <row r="12" spans="1:41" s="2" customFormat="1" x14ac:dyDescent="0.25">
      <c r="A12" s="17">
        <v>48</v>
      </c>
      <c r="B12" s="3"/>
      <c r="C12" s="10" t="str">
        <f t="shared" ref="C12:C14" si="11">CONCATENATE(A12," M")</f>
        <v>48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300000</v>
      </c>
      <c r="E12" s="11">
        <f t="shared" si="3"/>
        <v>11334.30599999999</v>
      </c>
      <c r="F12" s="12">
        <f t="shared" si="4"/>
        <v>2.7513210765333626E-2</v>
      </c>
      <c r="G12" s="12">
        <f t="shared" si="5"/>
        <v>2.3718285142528991E-2</v>
      </c>
      <c r="H12" s="12">
        <f t="shared" si="6"/>
        <v>1.6947686666666632E-2</v>
      </c>
      <c r="I12" s="11">
        <f t="shared" si="7"/>
        <v>300000</v>
      </c>
      <c r="J12" s="11">
        <f t="shared" si="8"/>
        <v>210385.07586206854</v>
      </c>
      <c r="K12" s="11">
        <f t="shared" si="9"/>
        <v>33661.61213793097</v>
      </c>
      <c r="L12" s="11">
        <f t="shared" si="10"/>
        <v>544046.6879999995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54</v>
      </c>
      <c r="B13" s="3"/>
      <c r="C13" s="10" t="str">
        <f t="shared" si="11"/>
        <v>54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300000</v>
      </c>
      <c r="E13" s="11">
        <f t="shared" si="3"/>
        <v>10732.385999999991</v>
      </c>
      <c r="F13" s="12">
        <f t="shared" si="4"/>
        <v>2.7513193273287918E-2</v>
      </c>
      <c r="G13" s="12">
        <f t="shared" si="5"/>
        <v>2.3718270063179243E-2</v>
      </c>
      <c r="H13" s="12">
        <f t="shared" si="6"/>
        <v>1.7256101481481455E-2</v>
      </c>
      <c r="I13" s="11">
        <f t="shared" si="7"/>
        <v>300000</v>
      </c>
      <c r="J13" s="11">
        <f t="shared" si="8"/>
        <v>240990.38275862034</v>
      </c>
      <c r="K13" s="11">
        <f t="shared" si="9"/>
        <v>38558.461241379257</v>
      </c>
      <c r="L13" s="11">
        <f t="shared" si="10"/>
        <v>579548.84399999958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60</v>
      </c>
      <c r="B14" s="3"/>
      <c r="C14" s="10" t="str">
        <f t="shared" si="11"/>
        <v>60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300000</v>
      </c>
      <c r="E14" s="11">
        <f t="shared" si="3"/>
        <v>10269.000000000175</v>
      </c>
      <c r="F14" s="12">
        <f t="shared" si="4"/>
        <v>2.7513202645306132E-2</v>
      </c>
      <c r="G14" s="12">
        <f t="shared" si="5"/>
        <v>2.3718278142505288E-2</v>
      </c>
      <c r="H14" s="12">
        <f t="shared" si="6"/>
        <v>1.7563333333333916E-2</v>
      </c>
      <c r="I14" s="11">
        <f t="shared" si="7"/>
        <v>300000</v>
      </c>
      <c r="J14" s="11">
        <f t="shared" si="8"/>
        <v>272534.48275862972</v>
      </c>
      <c r="K14" s="11">
        <f t="shared" si="9"/>
        <v>43605.517241380752</v>
      </c>
      <c r="L14" s="11">
        <f t="shared" si="10"/>
        <v>616140.00000001048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8"/>
      <c r="B15" s="3"/>
      <c r="C15" s="15" t="s">
        <v>8</v>
      </c>
      <c r="D15" s="3"/>
      <c r="E15" s="3"/>
      <c r="F15" s="3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  <c r="AN15" s="22"/>
      <c r="AO15" s="22"/>
    </row>
    <row r="16" spans="1:41" s="2" customFormat="1" x14ac:dyDescent="0.25">
      <c r="A16" s="18"/>
      <c r="B16" s="3"/>
      <c r="C16" s="15" t="s">
        <v>18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sheetProtection algorithmName="SHA-512" hashValue="i+T9jszah91LUCqJE1RzgPk/QPumjeZBJpOQfDOg0VGdfXKBLo/emp8bSjLns+7na5pFUWnOXnAzeK96FCxniQ==" saltValue="179Gs3TPKelsUfWloU5EHA==" spinCount="100000" sheet="1" objects="1" scenarios="1" selectLockedCells="1"/>
  <mergeCells count="6">
    <mergeCell ref="C2:D2"/>
    <mergeCell ref="E2:G2"/>
    <mergeCell ref="I2:K6"/>
    <mergeCell ref="C3:D3"/>
    <mergeCell ref="C4:D4"/>
    <mergeCell ref="C6:D6"/>
  </mergeCells>
  <dataValidations count="1">
    <dataValidation type="list" allowBlank="1" showInputMessage="1" showErrorMessage="1" sqref="E4" xr:uid="{00000000-0002-0000-0300-000000000000}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50"/>
  <sheetViews>
    <sheetView showGridLines="0" topLeftCell="B1" zoomScale="130" zoomScaleNormal="130" workbookViewId="0">
      <selection activeCell="E4" sqref="E4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4.28515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8" width="13.140625" style="25" bestFit="1" customWidth="1"/>
    <col min="39" max="39" width="13" style="25" bestFit="1" customWidth="1"/>
    <col min="40" max="40" width="6.285156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8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45" t="s">
        <v>24</v>
      </c>
      <c r="J2" s="45"/>
      <c r="K2" s="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8">
        <v>30</v>
      </c>
      <c r="AL2" s="23">
        <v>500000</v>
      </c>
      <c r="AM2" s="29">
        <v>24395.360000000001</v>
      </c>
      <c r="AN2" s="22">
        <f>RATE(AK2,AM2,-AL2,0,0)</f>
        <v>2.6581366928015542E-2</v>
      </c>
      <c r="AO2" s="22">
        <f>AN2/1.16</f>
        <v>2.2914971489668572E-2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14" t="s">
        <v>2</v>
      </c>
      <c r="F3" s="3"/>
      <c r="G3" s="3"/>
      <c r="H3" s="3"/>
      <c r="I3" s="45"/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8">
        <v>36</v>
      </c>
      <c r="AL3" s="23">
        <v>500000</v>
      </c>
      <c r="AM3" s="29">
        <v>21748.799999999999</v>
      </c>
      <c r="AN3" s="22">
        <f>RATE(AK3,AM3,-AL3,0,0)</f>
        <v>2.6581361892944973E-2</v>
      </c>
      <c r="AO3" s="22">
        <f>AN3/1.16</f>
        <v>2.2914967149090495E-2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8">
        <v>42</v>
      </c>
      <c r="AL4" s="23">
        <v>500000</v>
      </c>
      <c r="AM4" s="29">
        <v>19903.98</v>
      </c>
      <c r="AN4" s="22">
        <f>RATE(AK4,AM4,-AL4,0,0)</f>
        <v>2.6581361362648964E-2</v>
      </c>
      <c r="AO4" s="22">
        <f>AN4/1.16</f>
        <v>2.2914966691938765E-2</v>
      </c>
    </row>
    <row r="5" spans="1:41" s="2" customFormat="1" x14ac:dyDescent="0.25">
      <c r="A5" s="18"/>
      <c r="B5" s="3"/>
      <c r="C5" s="14"/>
      <c r="D5" s="14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8">
        <v>48</v>
      </c>
      <c r="AL5" s="23">
        <v>500000</v>
      </c>
      <c r="AM5" s="29">
        <v>18559.009999999998</v>
      </c>
      <c r="AN5" s="22">
        <f>RATE(AK5,AM5,-AL5,0,0)</f>
        <v>2.6581366412508928E-2</v>
      </c>
      <c r="AO5" s="22">
        <f>AN5/1.16</f>
        <v>2.2914971045266318E-2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300000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8">
        <v>54</v>
      </c>
      <c r="AL6" s="23">
        <v>500000</v>
      </c>
      <c r="AM6" s="29">
        <v>17546.05</v>
      </c>
      <c r="AN6" s="22">
        <f t="shared" ref="AN6:AN7" si="0">RATE(AK6,AM6,-AL6,0,0)</f>
        <v>2.6581366395352708E-2</v>
      </c>
      <c r="AO6" s="22">
        <f t="shared" ref="AO6:AO7" si="1">AN6/1.16</f>
        <v>2.2914971030476475E-2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5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8">
        <v>60</v>
      </c>
      <c r="AL7" s="23">
        <v>500000</v>
      </c>
      <c r="AM7" s="29">
        <v>16764.310000000001</v>
      </c>
      <c r="AN7" s="22">
        <f t="shared" si="0"/>
        <v>2.6581369031389964E-2</v>
      </c>
      <c r="AO7" s="22">
        <f t="shared" si="1"/>
        <v>2.2914973302922383E-2</v>
      </c>
    </row>
    <row r="8" spans="1:41" s="2" customFormat="1" x14ac:dyDescent="0.25">
      <c r="A8" s="18"/>
      <c r="B8" s="3"/>
      <c r="C8" s="9" t="s">
        <v>3</v>
      </c>
      <c r="D8" s="9" t="s">
        <v>4</v>
      </c>
      <c r="E8" s="9" t="s">
        <v>5</v>
      </c>
      <c r="F8" s="9" t="s">
        <v>19</v>
      </c>
      <c r="G8" s="9" t="s">
        <v>20</v>
      </c>
      <c r="H8" s="9" t="s">
        <v>10</v>
      </c>
      <c r="I8" s="9" t="s">
        <v>7</v>
      </c>
      <c r="J8" s="9" t="s">
        <v>11</v>
      </c>
      <c r="K8" s="9" t="s">
        <v>12</v>
      </c>
      <c r="L8" s="9" t="s">
        <v>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AL8" s="23"/>
      <c r="AM8" s="23"/>
      <c r="AN8" s="22"/>
      <c r="AO8" s="22"/>
    </row>
    <row r="9" spans="1:41" s="2" customFormat="1" x14ac:dyDescent="0.25">
      <c r="A9" s="17">
        <v>30</v>
      </c>
      <c r="B9" s="3"/>
      <c r="C9" s="10" t="str">
        <f t="shared" ref="C9:C10" si="2">CONCATENATE(A9," M")</f>
        <v>30 M</v>
      </c>
      <c r="D9" s="20">
        <f>IF(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&gt;=40000,
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,
0)</f>
        <v>300000</v>
      </c>
      <c r="E9" s="11">
        <f t="shared" ref="E9:E14" si="3">-PMT(F9,A9,D9,,0)</f>
        <v>14637.216000000022</v>
      </c>
      <c r="F9" s="12">
        <f t="shared" ref="F9:F14" si="4">VLOOKUP(A9,AK:AO,4,0)</f>
        <v>2.6581366928015542E-2</v>
      </c>
      <c r="G9" s="12">
        <f t="shared" ref="G9:G14" si="5">VLOOKUP(A9,AK:AO,5,0)</f>
        <v>2.2914971489668572E-2</v>
      </c>
      <c r="H9" s="12">
        <f t="shared" ref="H9:H14" si="6">IFERROR(((L9-I9)/I9)/A9,0)</f>
        <v>1.5457386666666743E-2</v>
      </c>
      <c r="I9" s="11">
        <f t="shared" ref="I9:I14" si="7">D9</f>
        <v>300000</v>
      </c>
      <c r="J9" s="11">
        <f t="shared" ref="J9:J14" si="8">(L9-I9)/1.16</f>
        <v>119928.0000000006</v>
      </c>
      <c r="K9" s="11">
        <f t="shared" ref="K9:K14" si="9">J9*16%</f>
        <v>19188.480000000094</v>
      </c>
      <c r="L9" s="11">
        <f t="shared" ref="L9:L14" si="10">E9*A9</f>
        <v>439116.48000000068</v>
      </c>
      <c r="M9" s="7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36</v>
      </c>
      <c r="B10" s="3"/>
      <c r="C10" s="10" t="str">
        <f t="shared" si="2"/>
        <v>36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20000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300000</v>
      </c>
      <c r="E10" s="11">
        <f t="shared" si="3"/>
        <v>13049.279999999984</v>
      </c>
      <c r="F10" s="12">
        <f t="shared" si="4"/>
        <v>2.6581361892944973E-2</v>
      </c>
      <c r="G10" s="12">
        <f t="shared" si="5"/>
        <v>2.2914967149090495E-2</v>
      </c>
      <c r="H10" s="12">
        <f t="shared" si="6"/>
        <v>1.5719822222222169E-2</v>
      </c>
      <c r="I10" s="11">
        <f t="shared" si="7"/>
        <v>300000</v>
      </c>
      <c r="J10" s="11">
        <f t="shared" si="8"/>
        <v>146356.9655172409</v>
      </c>
      <c r="K10" s="11">
        <f t="shared" si="9"/>
        <v>23417.114482758545</v>
      </c>
      <c r="L10" s="11">
        <f t="shared" si="10"/>
        <v>469774.07999999943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42</v>
      </c>
      <c r="B11" s="3"/>
      <c r="C11" s="10" t="str">
        <f>CONCATENATE(A11," M")</f>
        <v>42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5000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300000</v>
      </c>
      <c r="E11" s="11">
        <f t="shared" si="3"/>
        <v>11942.388000000272</v>
      </c>
      <c r="F11" s="12">
        <f t="shared" si="4"/>
        <v>2.6581361362648964E-2</v>
      </c>
      <c r="G11" s="12">
        <f t="shared" si="5"/>
        <v>2.2914966691938765E-2</v>
      </c>
      <c r="H11" s="12">
        <f t="shared" si="6"/>
        <v>1.5998436190477101E-2</v>
      </c>
      <c r="I11" s="11">
        <f t="shared" si="7"/>
        <v>300000</v>
      </c>
      <c r="J11" s="11">
        <f t="shared" si="8"/>
        <v>173776.11724138918</v>
      </c>
      <c r="K11" s="11">
        <f t="shared" si="9"/>
        <v>27804.178758622267</v>
      </c>
      <c r="L11" s="11">
        <f t="shared" si="10"/>
        <v>501580.29600001144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</row>
    <row r="12" spans="1:41" s="2" customFormat="1" x14ac:dyDescent="0.25">
      <c r="A12" s="17">
        <v>48</v>
      </c>
      <c r="B12" s="3"/>
      <c r="C12" s="10" t="str">
        <f t="shared" ref="C12:C14" si="11">CONCATENATE(A12," M")</f>
        <v>48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300000</v>
      </c>
      <c r="E12" s="11">
        <f t="shared" si="3"/>
        <v>11135.406000000001</v>
      </c>
      <c r="F12" s="12">
        <f t="shared" si="4"/>
        <v>2.6581366412508928E-2</v>
      </c>
      <c r="G12" s="12">
        <f t="shared" si="5"/>
        <v>2.2914971045266318E-2</v>
      </c>
      <c r="H12" s="12">
        <f t="shared" si="6"/>
        <v>1.6284686666666669E-2</v>
      </c>
      <c r="I12" s="11">
        <f t="shared" si="7"/>
        <v>300000</v>
      </c>
      <c r="J12" s="11">
        <f t="shared" si="8"/>
        <v>202154.73103448277</v>
      </c>
      <c r="K12" s="11">
        <f t="shared" si="9"/>
        <v>32344.756965517245</v>
      </c>
      <c r="L12" s="11">
        <f t="shared" si="10"/>
        <v>534499.48800000001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54</v>
      </c>
      <c r="B13" s="3"/>
      <c r="C13" s="10" t="str">
        <f t="shared" si="11"/>
        <v>54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300000</v>
      </c>
      <c r="E13" s="11">
        <f t="shared" si="3"/>
        <v>10527.63</v>
      </c>
      <c r="F13" s="12">
        <f t="shared" si="4"/>
        <v>2.6581366395352708E-2</v>
      </c>
      <c r="G13" s="12">
        <f t="shared" si="5"/>
        <v>2.2914971030476475E-2</v>
      </c>
      <c r="H13" s="12">
        <f t="shared" si="6"/>
        <v>1.6573581481481477E-2</v>
      </c>
      <c r="I13" s="11">
        <f t="shared" si="7"/>
        <v>300000</v>
      </c>
      <c r="J13" s="11">
        <f t="shared" si="8"/>
        <v>231458.63793103441</v>
      </c>
      <c r="K13" s="11">
        <f t="shared" si="9"/>
        <v>37033.382068965504</v>
      </c>
      <c r="L13" s="11">
        <f t="shared" si="10"/>
        <v>568492.0199999999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60</v>
      </c>
      <c r="B14" s="3"/>
      <c r="C14" s="10" t="str">
        <f t="shared" si="11"/>
        <v>60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300000</v>
      </c>
      <c r="E14" s="11">
        <f t="shared" si="3"/>
        <v>10058.585999999988</v>
      </c>
      <c r="F14" s="12">
        <f t="shared" si="4"/>
        <v>2.6581369031389964E-2</v>
      </c>
      <c r="G14" s="12">
        <f t="shared" si="5"/>
        <v>2.2914973302922383E-2</v>
      </c>
      <c r="H14" s="12">
        <f t="shared" si="6"/>
        <v>1.6861953333333297E-2</v>
      </c>
      <c r="I14" s="11">
        <f t="shared" si="7"/>
        <v>300000</v>
      </c>
      <c r="J14" s="11">
        <f t="shared" si="8"/>
        <v>261650.99999999945</v>
      </c>
      <c r="K14" s="11">
        <f t="shared" si="9"/>
        <v>41864.159999999909</v>
      </c>
      <c r="L14" s="11">
        <f t="shared" si="10"/>
        <v>603515.15999999933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8"/>
      <c r="B15" s="3"/>
      <c r="C15" s="15" t="s">
        <v>8</v>
      </c>
      <c r="D15" s="3"/>
      <c r="E15" s="3"/>
      <c r="F15" s="3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  <c r="AN15" s="22"/>
      <c r="AO15" s="22"/>
    </row>
    <row r="16" spans="1:41" s="2" customFormat="1" x14ac:dyDescent="0.25">
      <c r="A16" s="18"/>
      <c r="B16" s="3"/>
      <c r="C16" s="15" t="s">
        <v>18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sheetProtection algorithmName="SHA-512" hashValue="Tg4UK9WOEIjEltJH2AL80zXv8pEHVLmvn7D8JVDH4Ikzykym0NDCAdXUrMT7sNyLUlGA8V55RKUQNjg5xsRboQ==" saltValue="Ge7P4XPAq9Zf8EyL8Iuibw==" spinCount="100000" sheet="1" objects="1" scenarios="1" selectLockedCells="1"/>
  <mergeCells count="6">
    <mergeCell ref="C2:D2"/>
    <mergeCell ref="E2:G2"/>
    <mergeCell ref="I2:K6"/>
    <mergeCell ref="C3:D3"/>
    <mergeCell ref="C4:D4"/>
    <mergeCell ref="C6:D6"/>
  </mergeCells>
  <dataValidations count="1">
    <dataValidation type="list" allowBlank="1" showInputMessage="1" showErrorMessage="1" sqref="E4" xr:uid="{00000000-0002-0000-0400-000000000000}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51"/>
  <sheetViews>
    <sheetView showGridLines="0" topLeftCell="B1" zoomScale="130" zoomScaleNormal="130" workbookViewId="0">
      <selection activeCell="E6" sqref="E6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4.28515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8" width="13.140625" style="25" bestFit="1" customWidth="1"/>
    <col min="39" max="39" width="13" style="25" bestFit="1" customWidth="1"/>
    <col min="40" max="40" width="6.285156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8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customHeight="1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45" t="s">
        <v>30</v>
      </c>
      <c r="J2" s="45"/>
      <c r="K2" s="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8">
        <v>30</v>
      </c>
      <c r="AL2" s="23">
        <v>500000</v>
      </c>
      <c r="AM2" s="32">
        <v>24093.13</v>
      </c>
      <c r="AN2" s="22">
        <f>RATE(AK2,AM2,-AL2,0,0)</f>
        <v>2.5639968210078863E-2</v>
      </c>
      <c r="AO2" s="22">
        <f>AN2/1.16</f>
        <v>2.2103420870757642E-2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31" t="s">
        <v>2</v>
      </c>
      <c r="F3" s="3"/>
      <c r="G3" s="3"/>
      <c r="H3" s="3"/>
      <c r="I3" s="45"/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8">
        <v>36</v>
      </c>
      <c r="AL3" s="23">
        <v>500000</v>
      </c>
      <c r="AM3" s="32">
        <v>21436.65</v>
      </c>
      <c r="AN3" s="22">
        <f>RATE(AK3,AM3,-AL3,0,0)</f>
        <v>2.5639973458087346E-2</v>
      </c>
      <c r="AO3" s="22">
        <f>AN3/1.16</f>
        <v>2.2103425394902884E-2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8">
        <v>42</v>
      </c>
      <c r="AL4" s="23">
        <v>500000</v>
      </c>
      <c r="AM4" s="32">
        <v>19581.849999999999</v>
      </c>
      <c r="AN4" s="22">
        <f>RATE(AK4,AM4,-AL4,0,0)</f>
        <v>2.5639979989377632E-2</v>
      </c>
      <c r="AO4" s="22">
        <f>AN4/1.16</f>
        <v>2.2103431025325547E-2</v>
      </c>
    </row>
    <row r="5" spans="1:41" s="2" customFormat="1" x14ac:dyDescent="0.25">
      <c r="A5" s="18"/>
      <c r="B5" s="3"/>
      <c r="C5" s="31"/>
      <c r="D5" s="31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8">
        <v>48</v>
      </c>
      <c r="AL5" s="23">
        <v>500000</v>
      </c>
      <c r="AM5" s="32">
        <v>18227.009999999998</v>
      </c>
      <c r="AN5" s="22">
        <f>RATE(AK5,AM5,-AL5,0,0)</f>
        <v>2.5639966789436849E-2</v>
      </c>
      <c r="AO5" s="22">
        <f>AN5/1.16</f>
        <v>2.2103419646066252E-2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150000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8">
        <v>54</v>
      </c>
      <c r="AL6" s="23">
        <v>500000</v>
      </c>
      <c r="AM6" s="32">
        <v>17204.419999999998</v>
      </c>
      <c r="AN6" s="22">
        <f t="shared" ref="AN6:AN7" si="0">RATE(AK6,AM6,-AL6,0,0)</f>
        <v>2.5639978034695456E-2</v>
      </c>
      <c r="AO6" s="22">
        <f t="shared" ref="AO6:AO7" si="1">AN6/1.16</f>
        <v>2.2103429340254704E-2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45"/>
      <c r="J7" s="45"/>
      <c r="K7" s="4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8">
        <v>60</v>
      </c>
      <c r="AL7" s="23">
        <v>500000</v>
      </c>
      <c r="AM7" s="32">
        <v>16413.349999999999</v>
      </c>
      <c r="AN7" s="22">
        <f t="shared" si="0"/>
        <v>2.5639979738106281E-2</v>
      </c>
      <c r="AO7" s="22">
        <f t="shared" si="1"/>
        <v>2.2103430808712313E-2</v>
      </c>
    </row>
    <row r="8" spans="1:41" s="2" customFormat="1" x14ac:dyDescent="0.25">
      <c r="A8" s="18"/>
      <c r="B8" s="3"/>
      <c r="C8" s="3"/>
      <c r="D8" s="3"/>
      <c r="E8" s="3"/>
      <c r="F8" s="4"/>
      <c r="G8" s="4"/>
      <c r="H8" s="4"/>
      <c r="I8" s="4"/>
      <c r="J8" s="4"/>
      <c r="K8" s="4"/>
      <c r="L8" s="4"/>
      <c r="M8" s="4"/>
      <c r="N8" s="4"/>
      <c r="O8" s="3"/>
      <c r="P8" s="3"/>
      <c r="Q8" s="3"/>
      <c r="R8" s="3"/>
      <c r="S8" s="3"/>
      <c r="T8" s="3"/>
      <c r="U8" s="3"/>
      <c r="V8" s="3"/>
      <c r="W8" s="3"/>
      <c r="AK8" s="28"/>
      <c r="AL8" s="23"/>
      <c r="AM8" s="32"/>
      <c r="AN8" s="22"/>
      <c r="AO8" s="22"/>
    </row>
    <row r="9" spans="1:41" s="2" customFormat="1" x14ac:dyDescent="0.25">
      <c r="A9" s="18"/>
      <c r="B9" s="3"/>
      <c r="C9" s="9" t="s">
        <v>3</v>
      </c>
      <c r="D9" s="9" t="s">
        <v>4</v>
      </c>
      <c r="E9" s="9" t="s">
        <v>5</v>
      </c>
      <c r="F9" s="9" t="s">
        <v>19</v>
      </c>
      <c r="G9" s="9" t="s">
        <v>20</v>
      </c>
      <c r="H9" s="9" t="s">
        <v>10</v>
      </c>
      <c r="I9" s="9" t="s">
        <v>7</v>
      </c>
      <c r="J9" s="9" t="s">
        <v>11</v>
      </c>
      <c r="K9" s="9" t="s">
        <v>12</v>
      </c>
      <c r="L9" s="9" t="s">
        <v>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30</v>
      </c>
      <c r="B10" s="3"/>
      <c r="C10" s="10" t="str">
        <f t="shared" ref="C10:C11" si="2">CONCATENATE(A10," M")</f>
        <v>30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40000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150000</v>
      </c>
      <c r="E10" s="11">
        <f t="shared" ref="E10:E15" si="3">-PMT(F10,A10,D10,,0)</f>
        <v>7227.9389999999921</v>
      </c>
      <c r="F10" s="12">
        <f t="shared" ref="F10:F15" si="4">VLOOKUP(A10,AK:AO,4,0)</f>
        <v>2.5639968210078863E-2</v>
      </c>
      <c r="G10" s="12">
        <f t="shared" ref="G10:G15" si="5">VLOOKUP(A10,AK:AO,5,0)</f>
        <v>2.2103420870757642E-2</v>
      </c>
      <c r="H10" s="12">
        <f t="shared" ref="H10:H15" si="6">IFERROR(((L10-I10)/I10)/A10,0)</f>
        <v>1.485292666666661E-2</v>
      </c>
      <c r="I10" s="11">
        <f t="shared" ref="I10:I15" si="7">D10</f>
        <v>150000</v>
      </c>
      <c r="J10" s="11">
        <f t="shared" ref="J10:J15" si="8">(L10-I10)/1.16</f>
        <v>57619.112068965303</v>
      </c>
      <c r="K10" s="11">
        <f t="shared" ref="K10:K15" si="9">J10*16%</f>
        <v>9219.0579310344492</v>
      </c>
      <c r="L10" s="11">
        <f t="shared" ref="L10:L15" si="10">E10*A10</f>
        <v>216838.16999999975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36</v>
      </c>
      <c r="B11" s="3"/>
      <c r="C11" s="10" t="str">
        <f t="shared" si="2"/>
        <v>36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20000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150000</v>
      </c>
      <c r="E11" s="11">
        <f t="shared" si="3"/>
        <v>6430.9949999999826</v>
      </c>
      <c r="F11" s="12">
        <f t="shared" si="4"/>
        <v>2.5639973458087346E-2</v>
      </c>
      <c r="G11" s="12">
        <f t="shared" si="5"/>
        <v>2.2103425394902884E-2</v>
      </c>
      <c r="H11" s="12">
        <f t="shared" si="6"/>
        <v>1.5095522222222105E-2</v>
      </c>
      <c r="I11" s="11">
        <f t="shared" si="7"/>
        <v>150000</v>
      </c>
      <c r="J11" s="11">
        <f t="shared" si="8"/>
        <v>70272.258620689114</v>
      </c>
      <c r="K11" s="11">
        <f t="shared" si="9"/>
        <v>11243.561379310258</v>
      </c>
      <c r="L11" s="11">
        <f t="shared" si="10"/>
        <v>231515.81999999937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  <c r="AN11" s="22"/>
      <c r="AO11" s="22"/>
    </row>
    <row r="12" spans="1:41" s="2" customFormat="1" x14ac:dyDescent="0.25">
      <c r="A12" s="17">
        <v>42</v>
      </c>
      <c r="B12" s="3"/>
      <c r="C12" s="10" t="str">
        <f>CONCATENATE(A12," M")</f>
        <v>42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150000</v>
      </c>
      <c r="E12" s="11">
        <f t="shared" si="3"/>
        <v>5874.5550000002895</v>
      </c>
      <c r="F12" s="12">
        <f t="shared" si="4"/>
        <v>2.5639979989377632E-2</v>
      </c>
      <c r="G12" s="12">
        <f t="shared" si="5"/>
        <v>2.2103431025325547E-2</v>
      </c>
      <c r="H12" s="12">
        <f t="shared" si="6"/>
        <v>1.535417619047812E-2</v>
      </c>
      <c r="I12" s="11">
        <f t="shared" si="7"/>
        <v>150000</v>
      </c>
      <c r="J12" s="11">
        <f t="shared" si="8"/>
        <v>83389.060344838072</v>
      </c>
      <c r="K12" s="11">
        <f t="shared" si="9"/>
        <v>13342.249655174091</v>
      </c>
      <c r="L12" s="11">
        <f t="shared" si="10"/>
        <v>246731.31000001216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48</v>
      </c>
      <c r="B13" s="3"/>
      <c r="C13" s="10" t="str">
        <f t="shared" ref="C13:C15" si="11">CONCATENATE(A13," M")</f>
        <v>48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150000</v>
      </c>
      <c r="E13" s="11">
        <f t="shared" si="3"/>
        <v>5468.1030000000137</v>
      </c>
      <c r="F13" s="12">
        <f t="shared" si="4"/>
        <v>2.5639966789436849E-2</v>
      </c>
      <c r="G13" s="12">
        <f t="shared" si="5"/>
        <v>2.2103419646066252E-2</v>
      </c>
      <c r="H13" s="12">
        <f t="shared" si="6"/>
        <v>1.5620686666666758E-2</v>
      </c>
      <c r="I13" s="11">
        <f t="shared" si="7"/>
        <v>150000</v>
      </c>
      <c r="J13" s="11">
        <f t="shared" si="8"/>
        <v>96955.986206897127</v>
      </c>
      <c r="K13" s="11">
        <f t="shared" si="9"/>
        <v>15512.95779310354</v>
      </c>
      <c r="L13" s="11">
        <f t="shared" si="10"/>
        <v>262468.94400000066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54</v>
      </c>
      <c r="B14" s="3"/>
      <c r="C14" s="10" t="str">
        <f t="shared" si="11"/>
        <v>54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150000</v>
      </c>
      <c r="E14" s="11">
        <f t="shared" si="3"/>
        <v>5161.3259999999882</v>
      </c>
      <c r="F14" s="12">
        <f t="shared" si="4"/>
        <v>2.5639978034695456E-2</v>
      </c>
      <c r="G14" s="12">
        <f t="shared" si="5"/>
        <v>2.2103429340254704E-2</v>
      </c>
      <c r="H14" s="12">
        <f t="shared" si="6"/>
        <v>1.5890321481481402E-2</v>
      </c>
      <c r="I14" s="11">
        <f t="shared" si="7"/>
        <v>150000</v>
      </c>
      <c r="J14" s="11">
        <f t="shared" si="8"/>
        <v>110958.27931034428</v>
      </c>
      <c r="K14" s="11">
        <f t="shared" si="9"/>
        <v>17753.324689655085</v>
      </c>
      <c r="L14" s="11">
        <f t="shared" si="10"/>
        <v>278711.60399999935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7">
        <v>60</v>
      </c>
      <c r="B15" s="3"/>
      <c r="C15" s="10" t="str">
        <f t="shared" si="11"/>
        <v>60 M</v>
      </c>
      <c r="D15" s="20">
        <f>IF(IF($E$4="MONTO",IF((IF(MOD($E$6,1000)=0,$E$6,$E$6-MOD($E$6,1000)))&gt;500000,500000,IF(MOD($E$6,1000)=0,$E$6,$E$6-MOD($E$6,1000))),IF(((1-(1+F15)^(-A15))/(F15))*$E$6&gt;500000,500000,IF(MOD(((1-(1+F15)^(-A15))/(F15))*$E$6,1000)=0,((1-(1+F15)^(-A15))/(F15))*$E$6,((1-(1+F15)^(-A15))/(F15))*$E$6-MOD(((1-(1+F15)^(-A15))/(F15))*$E$6,1000))))&gt;=5000,
IF($E$4="MONTO",IF((IF(MOD($E$6,1000)=0,$E$6,$E$6-MOD($E$6,1000)))&gt;500000,500000,IF(MOD($E$6,1000)=0,$E$6,$E$6-MOD($E$6,1000))),IF(((1-(1+F15)^(-A15))/(F15))*$E$6&gt;500000,500000,IF(MOD(((1-(1+F15)^(-A15))/(F15))*$E$6,1000)=0,((1-(1+F15)^(-A15))/(F15))*$E$6,((1-(1+F15)^(-A15))/(F15))*$E$6-MOD(((1-(1+F15)^(-A15))/(F15))*$E$6,1000)))),
0)</f>
        <v>150000</v>
      </c>
      <c r="E15" s="11">
        <f t="shared" si="3"/>
        <v>4924.0049999999956</v>
      </c>
      <c r="F15" s="12">
        <f t="shared" si="4"/>
        <v>2.5639979738106281E-2</v>
      </c>
      <c r="G15" s="12">
        <f t="shared" si="5"/>
        <v>2.2103430808712313E-2</v>
      </c>
      <c r="H15" s="12">
        <f t="shared" si="6"/>
        <v>1.6160033333333306E-2</v>
      </c>
      <c r="I15" s="11">
        <f t="shared" si="7"/>
        <v>150000</v>
      </c>
      <c r="J15" s="11">
        <f t="shared" si="8"/>
        <v>125379.56896551704</v>
      </c>
      <c r="K15" s="11">
        <f t="shared" si="9"/>
        <v>20060.731034482727</v>
      </c>
      <c r="L15" s="11">
        <f t="shared" si="10"/>
        <v>295440.29999999976</v>
      </c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</row>
    <row r="16" spans="1:41" s="2" customFormat="1" x14ac:dyDescent="0.25">
      <c r="A16" s="18"/>
      <c r="B16" s="3"/>
      <c r="C16" s="15" t="s">
        <v>8</v>
      </c>
      <c r="D16" s="3"/>
      <c r="E16" s="3"/>
      <c r="F16" s="3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15" t="s">
        <v>18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  <c r="AN20" s="22"/>
      <c r="AO20" s="22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s="2" customFormat="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AL26" s="23"/>
      <c r="AM26" s="2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</sheetData>
  <sheetProtection algorithmName="SHA-512" hashValue="pcNgEUVLfzgqIXsvgoy/sfs6IBjGf8MZiXSKQglLtxc38oeRC7bi61h7gh3mFka2hUBtKdRohyVnhIqMAUgJ5Q==" saltValue="Hvu/cjfTPxg/xxLmtINyzw==" spinCount="100000" sheet="1" objects="1" scenarios="1" selectLockedCells="1"/>
  <mergeCells count="6">
    <mergeCell ref="I2:K7"/>
    <mergeCell ref="C2:D2"/>
    <mergeCell ref="E2:G2"/>
    <mergeCell ref="C3:D3"/>
    <mergeCell ref="C4:D4"/>
    <mergeCell ref="C6:D6"/>
  </mergeCells>
  <dataValidations count="1">
    <dataValidation type="list" allowBlank="1" showInputMessage="1" showErrorMessage="1" sqref="E4" xr:uid="{00000000-0002-0000-0500-000000000000}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51"/>
  <sheetViews>
    <sheetView showGridLines="0" topLeftCell="B1" zoomScale="130" zoomScaleNormal="130" workbookViewId="0">
      <selection activeCell="E6" sqref="E6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4.28515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9" width="14.28515625" style="25" customWidth="1"/>
    <col min="40" max="40" width="6.285156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8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customHeight="1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45" t="s">
        <v>31</v>
      </c>
      <c r="J2" s="45"/>
      <c r="K2" s="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8">
        <v>30</v>
      </c>
      <c r="AL2" s="23">
        <v>500000</v>
      </c>
      <c r="AM2" s="23">
        <v>23383.9</v>
      </c>
      <c r="AN2" s="22">
        <f>RATE(AK2,AM2,-AL2,0,0)</f>
        <v>2.3405680025931311E-2</v>
      </c>
      <c r="AO2" s="22">
        <f>AN2/1.16</f>
        <v>2.0177310367182167E-2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33" t="s">
        <v>2</v>
      </c>
      <c r="F3" s="3"/>
      <c r="G3" s="3"/>
      <c r="H3" s="3"/>
      <c r="I3" s="45"/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8">
        <v>36</v>
      </c>
      <c r="AL3" s="23">
        <v>500000</v>
      </c>
      <c r="AM3" s="23">
        <v>20705.259999999998</v>
      </c>
      <c r="AN3" s="22">
        <f>RATE(AK3,AM3,-AL3,0,0)</f>
        <v>2.3405703857123004E-2</v>
      </c>
      <c r="AO3" s="22">
        <f>AN3/1.16</f>
        <v>2.0177330911312935E-2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8">
        <v>42</v>
      </c>
      <c r="AL4" s="23">
        <v>500000</v>
      </c>
      <c r="AM4" s="23">
        <v>18828.03</v>
      </c>
      <c r="AN4" s="22">
        <f>RATE(AK4,AM4,-AL4,0,0)</f>
        <v>2.3405690660231987E-2</v>
      </c>
      <c r="AO4" s="22">
        <f>AN4/1.16</f>
        <v>2.0177319534682749E-2</v>
      </c>
    </row>
    <row r="5" spans="1:41" s="2" customFormat="1" x14ac:dyDescent="0.25">
      <c r="A5" s="18"/>
      <c r="B5" s="3"/>
      <c r="C5" s="33"/>
      <c r="D5" s="33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8">
        <v>48</v>
      </c>
      <c r="AL5" s="23">
        <v>500000</v>
      </c>
      <c r="AM5" s="23">
        <v>17450.919999999998</v>
      </c>
      <c r="AN5" s="22">
        <f>RATE(AK5,AM5,-AL5,0,0)</f>
        <v>2.3405678919894146E-2</v>
      </c>
      <c r="AO5" s="22">
        <f>AN5/1.16</f>
        <v>2.0177309413701851E-2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78000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8">
        <v>54</v>
      </c>
      <c r="AL6" s="23">
        <v>500000</v>
      </c>
      <c r="AM6" s="23">
        <v>16406.47</v>
      </c>
      <c r="AN6" s="22">
        <f t="shared" ref="AN6:AN7" si="0">RATE(AK6,AM6,-AL6,0,0)</f>
        <v>2.3405699180374117E-2</v>
      </c>
      <c r="AO6" s="22">
        <f t="shared" ref="AO6:AO7" si="1">AN6/1.16</f>
        <v>2.0177326879632862E-2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45"/>
      <c r="J7" s="45"/>
      <c r="K7" s="4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8">
        <v>60</v>
      </c>
      <c r="AL7" s="23">
        <v>500000</v>
      </c>
      <c r="AM7" s="23">
        <v>15594.11</v>
      </c>
      <c r="AN7" s="22">
        <f t="shared" si="0"/>
        <v>2.3405685062164401E-2</v>
      </c>
      <c r="AO7" s="22">
        <f t="shared" si="1"/>
        <v>2.0177314708762415E-2</v>
      </c>
    </row>
    <row r="8" spans="1:41" s="2" customFormat="1" x14ac:dyDescent="0.25">
      <c r="A8" s="18"/>
      <c r="B8" s="3"/>
      <c r="C8" s="3"/>
      <c r="D8" s="3"/>
      <c r="E8" s="3"/>
      <c r="F8" s="4"/>
      <c r="G8" s="4"/>
      <c r="H8" s="4"/>
      <c r="I8" s="4"/>
      <c r="J8" s="4"/>
      <c r="K8" s="4"/>
      <c r="L8" s="4"/>
      <c r="M8" s="4"/>
      <c r="N8" s="4"/>
      <c r="O8" s="3"/>
      <c r="P8" s="3"/>
      <c r="Q8" s="3"/>
      <c r="R8" s="3"/>
      <c r="S8" s="3"/>
      <c r="T8" s="3"/>
      <c r="U8" s="3"/>
      <c r="V8" s="3"/>
      <c r="W8" s="3"/>
      <c r="AK8" s="28"/>
      <c r="AL8" s="23"/>
      <c r="AM8" s="29"/>
      <c r="AN8" s="22"/>
      <c r="AO8" s="22"/>
    </row>
    <row r="9" spans="1:41" s="2" customFormat="1" x14ac:dyDescent="0.25">
      <c r="A9" s="18"/>
      <c r="B9" s="3"/>
      <c r="C9" s="38" t="s">
        <v>3</v>
      </c>
      <c r="D9" s="38" t="s">
        <v>4</v>
      </c>
      <c r="E9" s="38" t="s">
        <v>5</v>
      </c>
      <c r="F9" s="38" t="s">
        <v>19</v>
      </c>
      <c r="G9" s="38" t="s">
        <v>20</v>
      </c>
      <c r="H9" s="38" t="s">
        <v>10</v>
      </c>
      <c r="I9" s="38" t="s">
        <v>7</v>
      </c>
      <c r="J9" s="38" t="s">
        <v>11</v>
      </c>
      <c r="K9" s="38" t="s">
        <v>12</v>
      </c>
      <c r="L9" s="38" t="s">
        <v>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30</v>
      </c>
      <c r="B10" s="3"/>
      <c r="C10" s="10" t="str">
        <f t="shared" ref="C10:C11" si="2">CONCATENATE(A10," M")</f>
        <v>30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40000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78000</v>
      </c>
      <c r="E10" s="11">
        <f t="shared" ref="E10:E15" si="3">-PMT(F10,A10,D10,,0)</f>
        <v>3647.8884000000076</v>
      </c>
      <c r="F10" s="12">
        <f t="shared" ref="F10:F15" si="4">VLOOKUP(A10,AK:AO,4,0)</f>
        <v>2.3405680025931311E-2</v>
      </c>
      <c r="G10" s="12">
        <f t="shared" ref="G10:G15" si="5">VLOOKUP(A10,AK:AO,5,0)</f>
        <v>2.0177310367182167E-2</v>
      </c>
      <c r="H10" s="12">
        <f t="shared" ref="H10:H15" si="6">IFERROR(((L10-I10)/I10)/A10,0)</f>
        <v>1.3434466666666761E-2</v>
      </c>
      <c r="I10" s="11">
        <f t="shared" ref="I10:I15" si="7">D10</f>
        <v>78000</v>
      </c>
      <c r="J10" s="11">
        <f t="shared" ref="J10:J15" si="8">(L10-I10)/1.16</f>
        <v>27100.562068965708</v>
      </c>
      <c r="K10" s="11">
        <f t="shared" ref="K10:K15" si="9">J10*16%</f>
        <v>4336.089931034513</v>
      </c>
      <c r="L10" s="11">
        <f t="shared" ref="L10:L15" si="10">E10*A10</f>
        <v>109436.65200000022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36</v>
      </c>
      <c r="B11" s="3"/>
      <c r="C11" s="10" t="str">
        <f t="shared" si="2"/>
        <v>36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20000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78000</v>
      </c>
      <c r="E11" s="11">
        <f t="shared" si="3"/>
        <v>3230.0205600000045</v>
      </c>
      <c r="F11" s="12">
        <f t="shared" si="4"/>
        <v>2.3405703857123004E-2</v>
      </c>
      <c r="G11" s="12">
        <f t="shared" si="5"/>
        <v>2.0177330911312935E-2</v>
      </c>
      <c r="H11" s="12">
        <f t="shared" si="6"/>
        <v>1.3632742222222279E-2</v>
      </c>
      <c r="I11" s="11">
        <f t="shared" si="7"/>
        <v>78000</v>
      </c>
      <c r="J11" s="11">
        <f t="shared" si="8"/>
        <v>33000.638068965658</v>
      </c>
      <c r="K11" s="11">
        <f t="shared" si="9"/>
        <v>5280.1020910345051</v>
      </c>
      <c r="L11" s="11">
        <f t="shared" si="10"/>
        <v>116280.74016000016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  <c r="AN11" s="22"/>
      <c r="AO11" s="22"/>
    </row>
    <row r="12" spans="1:41" s="2" customFormat="1" x14ac:dyDescent="0.25">
      <c r="A12" s="17">
        <v>42</v>
      </c>
      <c r="B12" s="3"/>
      <c r="C12" s="10" t="str">
        <f>CONCATENATE(A12," M")</f>
        <v>42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78000</v>
      </c>
      <c r="E12" s="11">
        <f t="shared" si="3"/>
        <v>2937.1726800000065</v>
      </c>
      <c r="F12" s="12">
        <f t="shared" si="4"/>
        <v>2.3405690660231987E-2</v>
      </c>
      <c r="G12" s="12">
        <f t="shared" si="5"/>
        <v>2.0177319534682749E-2</v>
      </c>
      <c r="H12" s="12">
        <f t="shared" si="6"/>
        <v>1.3846536190476275E-2</v>
      </c>
      <c r="I12" s="11">
        <f t="shared" si="7"/>
        <v>78000</v>
      </c>
      <c r="J12" s="11">
        <f t="shared" si="8"/>
        <v>39104.528068965752</v>
      </c>
      <c r="K12" s="11">
        <f t="shared" si="9"/>
        <v>6256.7244910345207</v>
      </c>
      <c r="L12" s="11">
        <f t="shared" si="10"/>
        <v>123361.25256000027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48</v>
      </c>
      <c r="B13" s="3"/>
      <c r="C13" s="10" t="str">
        <f t="shared" ref="C13:C15" si="11">CONCATENATE(A13," M")</f>
        <v>48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78000</v>
      </c>
      <c r="E13" s="11">
        <f t="shared" si="3"/>
        <v>2722.3435200000176</v>
      </c>
      <c r="F13" s="12">
        <f t="shared" si="4"/>
        <v>2.3405678919894146E-2</v>
      </c>
      <c r="G13" s="12">
        <f t="shared" si="5"/>
        <v>2.0177309413701851E-2</v>
      </c>
      <c r="H13" s="12">
        <f t="shared" si="6"/>
        <v>1.4068506666666892E-2</v>
      </c>
      <c r="I13" s="11">
        <f t="shared" si="7"/>
        <v>78000</v>
      </c>
      <c r="J13" s="11">
        <f t="shared" si="8"/>
        <v>45407.318068966248</v>
      </c>
      <c r="K13" s="11">
        <f t="shared" si="9"/>
        <v>7265.1708910345997</v>
      </c>
      <c r="L13" s="11">
        <f t="shared" si="10"/>
        <v>130672.48896000085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54</v>
      </c>
      <c r="B14" s="3"/>
      <c r="C14" s="10" t="str">
        <f t="shared" si="11"/>
        <v>54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78000</v>
      </c>
      <c r="E14" s="11">
        <f t="shared" si="3"/>
        <v>2559.4093199999929</v>
      </c>
      <c r="F14" s="12">
        <f t="shared" si="4"/>
        <v>2.3405699180374117E-2</v>
      </c>
      <c r="G14" s="12">
        <f t="shared" si="5"/>
        <v>2.0177326879632862E-2</v>
      </c>
      <c r="H14" s="12">
        <f t="shared" si="6"/>
        <v>1.4294421481481393E-2</v>
      </c>
      <c r="I14" s="11">
        <f t="shared" si="7"/>
        <v>78000</v>
      </c>
      <c r="J14" s="11">
        <f t="shared" si="8"/>
        <v>51903.537310344516</v>
      </c>
      <c r="K14" s="11">
        <f t="shared" si="9"/>
        <v>8304.5659696551229</v>
      </c>
      <c r="L14" s="11">
        <f t="shared" si="10"/>
        <v>138208.10327999963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7">
        <v>60</v>
      </c>
      <c r="B15" s="3"/>
      <c r="C15" s="10" t="str">
        <f t="shared" si="11"/>
        <v>60 M</v>
      </c>
      <c r="D15" s="20">
        <f>IF(IF($E$4="MONTO",IF((IF(MOD($E$6,1000)=0,$E$6,$E$6-MOD($E$6,1000)))&gt;500000,500000,IF(MOD($E$6,1000)=0,$E$6,$E$6-MOD($E$6,1000))),IF(((1-(1+F15)^(-A15))/(F15))*$E$6&gt;500000,500000,IF(MOD(((1-(1+F15)^(-A15))/(F15))*$E$6,1000)=0,((1-(1+F15)^(-A15))/(F15))*$E$6,((1-(1+F15)^(-A15))/(F15))*$E$6-MOD(((1-(1+F15)^(-A15))/(F15))*$E$6,1000))))&gt;=5000,
IF($E$4="MONTO",IF((IF(MOD($E$6,1000)=0,$E$6,$E$6-MOD($E$6,1000)))&gt;500000,500000,IF(MOD($E$6,1000)=0,$E$6,$E$6-MOD($E$6,1000))),IF(((1-(1+F15)^(-A15))/(F15))*$E$6&gt;500000,500000,IF(MOD(((1-(1+F15)^(-A15))/(F15))*$E$6,1000)=0,((1-(1+F15)^(-A15))/(F15))*$E$6,((1-(1+F15)^(-A15))/(F15))*$E$6-MOD(((1-(1+F15)^(-A15))/(F15))*$E$6,1000)))),
0)</f>
        <v>78000</v>
      </c>
      <c r="E15" s="11">
        <f t="shared" si="3"/>
        <v>2432.6811600000042</v>
      </c>
      <c r="F15" s="12">
        <f t="shared" si="4"/>
        <v>2.3405685062164401E-2</v>
      </c>
      <c r="G15" s="12">
        <f t="shared" si="5"/>
        <v>2.0177314708762415E-2</v>
      </c>
      <c r="H15" s="12">
        <f t="shared" si="6"/>
        <v>1.4521553333333385E-2</v>
      </c>
      <c r="I15" s="11">
        <f t="shared" si="7"/>
        <v>78000</v>
      </c>
      <c r="J15" s="11">
        <f t="shared" si="8"/>
        <v>58586.956551724346</v>
      </c>
      <c r="K15" s="11">
        <f t="shared" si="9"/>
        <v>9373.9130482758956</v>
      </c>
      <c r="L15" s="11">
        <f t="shared" si="10"/>
        <v>145960.86960000024</v>
      </c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</row>
    <row r="16" spans="1:41" s="2" customFormat="1" x14ac:dyDescent="0.25">
      <c r="A16" s="18"/>
      <c r="B16" s="3"/>
      <c r="C16" s="15" t="s">
        <v>8</v>
      </c>
      <c r="D16" s="3"/>
      <c r="E16" s="3"/>
      <c r="F16" s="3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15" t="s">
        <v>18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  <c r="AN20" s="22"/>
      <c r="AO20" s="22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s="2" customFormat="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AL26" s="23"/>
      <c r="AM26" s="2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</sheetData>
  <sheetProtection algorithmName="SHA-512" hashValue="lZu++pdOgq13PMuFCHpCV3mCaaoszcINvMXxqIqgBPqJtlFroUAwllRrRB6eNm7/HuWJnzp6mhk67QPl9sSdRg==" saltValue="CQmCe74fLY04zAiUAcpLZg==" spinCount="100000" sheet="1" objects="1" scenarios="1" selectLockedCells="1"/>
  <mergeCells count="6">
    <mergeCell ref="C2:D2"/>
    <mergeCell ref="E2:G2"/>
    <mergeCell ref="I2:K7"/>
    <mergeCell ref="C3:D3"/>
    <mergeCell ref="C4:D4"/>
    <mergeCell ref="C6:D6"/>
  </mergeCells>
  <dataValidations count="1">
    <dataValidation type="list" allowBlank="1" showInputMessage="1" showErrorMessage="1" sqref="E4" xr:uid="{00000000-0002-0000-0600-000000000000}">
      <formula1>"Monto, Capacidad"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CREDITO NUEVO 2.69% CAT 44.58%</vt:lpstr>
      <vt:lpstr>COMPRA 2.71% CAT 45%</vt:lpstr>
      <vt:lpstr>COMPRA 2.50% CAT 41%</vt:lpstr>
      <vt:lpstr>COMPRA 2.37% CAT 38.5%</vt:lpstr>
      <vt:lpstr>COMPRA 2.29% CAT 37%</vt:lpstr>
      <vt:lpstr>TEMPORALCOMPRA 2.21% CAT 35.50%</vt:lpstr>
      <vt:lpstr>COMPRA 2.02% CAT 32%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2026-02-17T17:17:17Z</dcterms:modified>
</cp:coreProperties>
</file>