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EDE9908D-C919-4422-80B7-D71D91DA1291}" xr6:coauthVersionLast="47" xr6:coauthVersionMax="47" xr10:uidLastSave="{00000000-0000-0000-0000-000000000000}"/>
  <bookViews>
    <workbookView showHorizontalScroll="0" showVerticalScroll="0" xWindow="-120" yWindow="-120" windowWidth="20760" windowHeight="11040" xr2:uid="{00000000-000D-0000-FFFF-FFFF00000000}"/>
  </bookViews>
  <sheets>
    <sheet name="CAT 29.46% MONTOS MAYORES 100K" sheetId="1" r:id="rId1"/>
    <sheet name="CAT 33.18% MONTOS MENORES 100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D11" i="2"/>
  <c r="I11" i="2" s="1"/>
  <c r="D10" i="2"/>
  <c r="I10" i="2" s="1"/>
  <c r="AI3" i="1"/>
  <c r="AI2" i="1"/>
  <c r="AH5" i="2"/>
  <c r="AI5" i="2" s="1"/>
  <c r="AH4" i="2"/>
  <c r="F10" i="2" s="1"/>
  <c r="AH5" i="1"/>
  <c r="AH4" i="1"/>
  <c r="AH3" i="1"/>
  <c r="AH2" i="1"/>
  <c r="F11" i="2"/>
  <c r="C11" i="2"/>
  <c r="C10" i="2"/>
  <c r="C7" i="2"/>
  <c r="AJ5" i="2"/>
  <c r="AJ4" i="2"/>
  <c r="D13" i="1"/>
  <c r="D12" i="1"/>
  <c r="D11" i="1"/>
  <c r="AI4" i="2" l="1"/>
  <c r="E11" i="2"/>
  <c r="L11" i="2" s="1"/>
  <c r="J11" i="2" s="1"/>
  <c r="K11" i="2" s="1"/>
  <c r="E10" i="2"/>
  <c r="L10" i="2" s="1"/>
  <c r="H10" i="2" s="1"/>
  <c r="G11" i="2"/>
  <c r="G10" i="2"/>
  <c r="AJ5" i="1"/>
  <c r="AJ4" i="1"/>
  <c r="AJ3" i="1"/>
  <c r="AJ2" i="1"/>
  <c r="AI5" i="1"/>
  <c r="AI4" i="1"/>
  <c r="J10" i="2" l="1"/>
  <c r="K10" i="2" s="1"/>
  <c r="H11" i="2"/>
  <c r="C10" i="1"/>
  <c r="C7" i="1" l="1"/>
  <c r="C13" i="1" l="1"/>
  <c r="C12" i="1"/>
  <c r="F13" i="1" l="1"/>
  <c r="F12" i="1"/>
  <c r="E12" i="1" l="1"/>
  <c r="G13" i="1"/>
  <c r="E13" i="1"/>
  <c r="G12" i="1"/>
  <c r="I13" i="1" l="1"/>
  <c r="I12" i="1"/>
  <c r="L13" i="1"/>
  <c r="L12" i="1"/>
  <c r="J12" i="1" l="1"/>
  <c r="K12" i="1" s="1"/>
  <c r="J13" i="1"/>
  <c r="K13" i="1" s="1"/>
  <c r="H13" i="1"/>
  <c r="H12" i="1"/>
  <c r="F10" i="1"/>
  <c r="G10" i="1" l="1"/>
  <c r="I10" i="1"/>
  <c r="E10" i="1" l="1"/>
  <c r="L10" i="1" s="1"/>
  <c r="F11" i="1"/>
  <c r="J10" i="1" l="1"/>
  <c r="K10" i="1" s="1"/>
  <c r="H10" i="1"/>
  <c r="E11" i="1"/>
  <c r="G11" i="1"/>
  <c r="C11" i="1"/>
  <c r="I11" i="1" l="1"/>
  <c r="L11" i="1" l="1"/>
  <c r="H11" i="1" s="1"/>
  <c r="J11" i="1" l="1"/>
  <c r="K11" i="1" s="1"/>
</calcChain>
</file>

<file path=xl/sharedStrings.xml><?xml version="1.0" encoding="utf-8"?>
<sst xmlns="http://schemas.openxmlformats.org/spreadsheetml/2006/main" count="52" uniqueCount="27">
  <si>
    <t xml:space="preserve">Dependencia: </t>
  </si>
  <si>
    <t>Frecuencia:</t>
  </si>
  <si>
    <t>Mensual</t>
  </si>
  <si>
    <t>Plazo</t>
  </si>
  <si>
    <t>Prestamo</t>
  </si>
  <si>
    <t>Descuento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</si>
  <si>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</si>
  <si>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</si>
  <si>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</si>
  <si>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</si>
  <si>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</si>
  <si>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</si>
  <si>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</si>
  <si>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MONTO</t>
  </si>
  <si>
    <t>PLAZO</t>
  </si>
  <si>
    <t>DESCUENTO</t>
  </si>
  <si>
    <t>TASA</t>
  </si>
  <si>
    <t>TASA SIN IVA</t>
  </si>
  <si>
    <t>*Las tasas globales e insolutas estan en terminos mensuales e incluyen el IVA.</t>
  </si>
  <si>
    <t>Tasa C/IVA</t>
  </si>
  <si>
    <t>Tasa S/IVA</t>
  </si>
  <si>
    <t>PAGARE</t>
  </si>
  <si>
    <t>Monto</t>
  </si>
  <si>
    <t>IMSS/MULTIVA</t>
  </si>
  <si>
    <t>CAT PORTAL</t>
  </si>
  <si>
    <r>
      <t xml:space="preserve">Condiciones:
Solo se puede utilizar para simulaciones que apliquen </t>
    </r>
    <r>
      <rPr>
        <b/>
        <sz val="8"/>
        <color rgb="FFFF0000"/>
        <rFont val="Calibri"/>
        <family val="2"/>
        <scheme val="minor"/>
      </rPr>
      <t>CRÉDITOS NUEVO o COMPRA DE CARTERA</t>
    </r>
    <r>
      <rPr>
        <b/>
        <sz val="8"/>
        <color theme="1"/>
        <rFont val="Calibri"/>
        <family val="2"/>
        <scheme val="minor"/>
      </rPr>
      <t>.
36 a 60 M, montos mayores de 100,000 hasta 600,000.</t>
    </r>
  </si>
  <si>
    <r>
      <t xml:space="preserve">Condiciones:
Solo se puede utilizar para simulaciones que apliquen </t>
    </r>
    <r>
      <rPr>
        <b/>
        <sz val="8"/>
        <color rgb="FFFF0000"/>
        <rFont val="Calibri"/>
        <family val="2"/>
        <scheme val="minor"/>
      </rPr>
      <t>CRÉDITOS NUEVO o COMPRA DE CARTERA</t>
    </r>
    <r>
      <rPr>
        <b/>
        <sz val="8"/>
        <color theme="1"/>
        <rFont val="Calibri"/>
        <family val="2"/>
        <scheme val="minor"/>
      </rPr>
      <t>.
54 a 60 M, montos que sean menores a 100,000.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</si>
</sst>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[$-80A]General"/>
    <numFmt numFmtId="165" formatCode="0.000%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</font>
    <font>
      <sz val="11"/>
      <color theme="1"/>
      <name val="Segoe UI"/>
      <family val="2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40">
    <xf numFmtId="0" fontId="0" fillId="0" borderId="0" xfId="0"/>
    <xf numFmtId="0" fontId="4" fillId="4" borderId="1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0" fillId="4" borderId="0" xfId="0" applyFont="1" applyFill="1" applyProtection="1">
      <protection hidden="1"/>
    </xf>
    <xf numFmtId="10" fontId="0" fillId="4" borderId="0" xfId="0" applyNumberFormat="1" applyFon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44" fontId="0" fillId="2" borderId="0" xfId="0" applyNumberForma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44" fontId="5" fillId="0" borderId="0" xfId="0" applyNumberFormat="1" applyFont="1" applyProtection="1">
      <protection locked="0"/>
    </xf>
    <xf numFmtId="0" fontId="6" fillId="3" borderId="0" xfId="0" applyFont="1" applyFill="1" applyProtection="1">
      <protection hidden="1"/>
    </xf>
    <xf numFmtId="0" fontId="7" fillId="3" borderId="0" xfId="0" applyFont="1" applyFill="1" applyProtection="1">
      <protection hidden="1"/>
    </xf>
    <xf numFmtId="0" fontId="7" fillId="0" borderId="0" xfId="0" applyFont="1" applyProtection="1">
      <protection hidden="1"/>
    </xf>
    <xf numFmtId="8" fontId="0" fillId="4" borderId="0" xfId="0" applyNumberFormat="1" applyFont="1" applyFill="1" applyProtection="1">
      <protection hidden="1"/>
    </xf>
    <xf numFmtId="8" fontId="0" fillId="0" borderId="0" xfId="0" applyNumberFormat="1" applyFont="1" applyProtection="1">
      <protection hidden="1"/>
    </xf>
    <xf numFmtId="44" fontId="0" fillId="2" borderId="0" xfId="0" applyNumberFormat="1" applyFill="1" applyAlignment="1" applyProtection="1">
      <alignment horizontal="center"/>
    </xf>
    <xf numFmtId="44" fontId="0" fillId="4" borderId="0" xfId="0" applyNumberFormat="1" applyFont="1" applyFill="1" applyProtection="1">
      <protection hidden="1"/>
    </xf>
    <xf numFmtId="0" fontId="0" fillId="6" borderId="0" xfId="0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8" fillId="6" borderId="0" xfId="0" applyFont="1" applyFill="1" applyProtection="1"/>
    <xf numFmtId="44" fontId="0" fillId="6" borderId="0" xfId="0" applyNumberFormat="1" applyFill="1" applyProtection="1">
      <protection hidden="1"/>
    </xf>
    <xf numFmtId="44" fontId="0" fillId="4" borderId="0" xfId="0" applyNumberFormat="1" applyFill="1" applyProtection="1">
      <protection hidden="1"/>
    </xf>
    <xf numFmtId="44" fontId="0" fillId="0" borderId="0" xfId="0" applyNumberFormat="1" applyFont="1" applyProtection="1">
      <protection hidden="1"/>
    </xf>
    <xf numFmtId="8" fontId="0" fillId="4" borderId="0" xfId="0" applyNumberFormat="1" applyFill="1" applyProtection="1">
      <protection hidden="1"/>
    </xf>
    <xf numFmtId="0" fontId="0" fillId="4" borderId="0" xfId="0" applyFill="1" applyBorder="1" applyProtection="1">
      <protection hidden="1"/>
    </xf>
    <xf numFmtId="44" fontId="0" fillId="4" borderId="0" xfId="0" applyNumberFormat="1" applyFont="1" applyFill="1" applyBorder="1" applyProtection="1">
      <protection hidden="1"/>
    </xf>
    <xf numFmtId="44" fontId="10" fillId="0" borderId="0" xfId="0" applyNumberFormat="1" applyFont="1" applyBorder="1" applyAlignment="1">
      <alignment horizontal="center"/>
    </xf>
    <xf numFmtId="10" fontId="0" fillId="4" borderId="0" xfId="0" applyNumberFormat="1" applyFont="1" applyFill="1" applyBorder="1" applyProtection="1">
      <protection hidden="1"/>
    </xf>
    <xf numFmtId="165" fontId="0" fillId="4" borderId="0" xfId="0" applyNumberFormat="1" applyFont="1" applyFill="1" applyBorder="1" applyProtection="1">
      <protection hidden="1"/>
    </xf>
    <xf numFmtId="0" fontId="0" fillId="4" borderId="0" xfId="0" applyFont="1" applyFill="1" applyBorder="1" applyProtection="1">
      <protection hidden="1"/>
    </xf>
    <xf numFmtId="44" fontId="9" fillId="0" borderId="0" xfId="0" applyNumberFormat="1" applyFont="1" applyBorder="1"/>
    <xf numFmtId="10" fontId="0" fillId="4" borderId="0" xfId="0" applyNumberFormat="1" applyFill="1" applyProtection="1">
      <protection hidden="1"/>
    </xf>
    <xf numFmtId="0" fontId="1" fillId="6" borderId="0" xfId="0" applyFont="1" applyFill="1" applyAlignment="1" applyProtection="1">
      <alignment horizontal="center"/>
      <protection hidden="1"/>
    </xf>
    <xf numFmtId="165" fontId="0" fillId="2" borderId="0" xfId="0" applyNumberFormat="1" applyFill="1" applyAlignment="1" applyProtection="1">
      <alignment horizontal="center"/>
      <protection hidden="1"/>
    </xf>
    <xf numFmtId="166" fontId="11" fillId="4" borderId="0" xfId="0" applyNumberFormat="1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1" fillId="6" borderId="2" xfId="0" applyFont="1" applyFill="1" applyBorder="1" applyAlignment="1" applyProtection="1">
      <alignment horizontal="center"/>
      <protection hidden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6"/>
  <sheetViews>
    <sheetView showGridLines="0" tabSelected="1" topLeftCell="B1" zoomScale="140" zoomScaleNormal="140" workbookViewId="0">
      <selection activeCell="E5" sqref="E5"/>
    </sheetView>
  </sheetViews>
  <sheetFormatPr baseColWidth="10" defaultRowHeight="15" x14ac:dyDescent="0.25"/>
  <cols>
    <col min="1" max="1" width="3.140625" style="14" hidden="1" customWidth="1"/>
    <col min="2" max="2" width="2.42578125" style="9" customWidth="1"/>
    <col min="3" max="3" width="11.42578125" style="9"/>
    <col min="4" max="4" width="15" style="9" bestFit="1" customWidth="1"/>
    <col min="5" max="5" width="16.42578125" style="9" customWidth="1"/>
    <col min="6" max="6" width="13" style="9" customWidth="1"/>
    <col min="7" max="7" width="12.7109375" style="9" bestFit="1" customWidth="1"/>
    <col min="8" max="8" width="14.140625" style="9" bestFit="1" customWidth="1"/>
    <col min="9" max="12" width="18.7109375" style="9" customWidth="1"/>
    <col min="13" max="13" width="11.85546875" style="9" bestFit="1" customWidth="1"/>
    <col min="14" max="30" width="11.42578125" style="9"/>
    <col min="31" max="31" width="6.7109375" style="10" bestFit="1" customWidth="1"/>
    <col min="32" max="32" width="13.28515625" style="16" bestFit="1" customWidth="1"/>
    <col min="33" max="33" width="13.140625" style="24" bestFit="1" customWidth="1"/>
    <col min="34" max="34" width="12" style="10" bestFit="1" customWidth="1"/>
    <col min="35" max="35" width="12.5703125" style="10" bestFit="1" customWidth="1"/>
    <col min="36" max="36" width="14.28515625" style="10" bestFit="1" customWidth="1"/>
    <col min="37" max="16384" width="11.42578125" style="9"/>
  </cols>
  <sheetData>
    <row r="1" spans="1:37" s="2" customFormat="1" ht="14.45" customHeight="1" x14ac:dyDescent="0.25">
      <c r="A1" s="13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AB1" s="3"/>
      <c r="AC1" s="3"/>
      <c r="AD1" s="3"/>
      <c r="AE1" s="3" t="s">
        <v>14</v>
      </c>
      <c r="AF1" s="15" t="s">
        <v>13</v>
      </c>
      <c r="AG1" s="18" t="s">
        <v>15</v>
      </c>
      <c r="AH1" s="3" t="s">
        <v>16</v>
      </c>
      <c r="AI1" s="3" t="s">
        <v>17</v>
      </c>
      <c r="AJ1" s="3" t="s">
        <v>21</v>
      </c>
      <c r="AK1" s="2" t="s">
        <v>24</v>
      </c>
    </row>
    <row r="2" spans="1:37" s="2" customFormat="1" ht="16.5" x14ac:dyDescent="0.3">
      <c r="A2" s="1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AB2" s="3"/>
      <c r="AC2" s="3"/>
      <c r="AD2" s="3"/>
      <c r="AE2" s="26">
        <v>36</v>
      </c>
      <c r="AF2" s="27">
        <v>150000</v>
      </c>
      <c r="AG2" s="28">
        <v>6051.5864046276665</v>
      </c>
      <c r="AH2" s="29">
        <f>RATE(AE2,AG2,-AF2,,0)</f>
        <v>2.1749999999999981E-2</v>
      </c>
      <c r="AI2" s="30">
        <f>AH2/1.16</f>
        <v>1.8749999999999985E-2</v>
      </c>
      <c r="AJ2" s="27">
        <f>AG2*AE2</f>
        <v>217857.11056659601</v>
      </c>
      <c r="AK2" s="33">
        <v>0.29459999999999997</v>
      </c>
    </row>
    <row r="3" spans="1:37" s="2" customFormat="1" ht="16.5" x14ac:dyDescent="0.3">
      <c r="A3" s="13"/>
      <c r="B3" s="19"/>
      <c r="C3" s="37" t="s">
        <v>0</v>
      </c>
      <c r="D3" s="37"/>
      <c r="E3" s="38" t="s">
        <v>23</v>
      </c>
      <c r="F3" s="3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AB3" s="3"/>
      <c r="AC3" s="3"/>
      <c r="AD3" s="3"/>
      <c r="AE3" s="31">
        <v>48</v>
      </c>
      <c r="AF3" s="27">
        <v>150000</v>
      </c>
      <c r="AG3" s="28">
        <v>5066.0387703458155</v>
      </c>
      <c r="AH3" s="29">
        <f>RATE(AE3,AG3,-AF3,,0)</f>
        <v>2.1750000000001202E-2</v>
      </c>
      <c r="AI3" s="30">
        <f>AH3/1.16</f>
        <v>1.8750000000001037E-2</v>
      </c>
      <c r="AJ3" s="27">
        <f>AG3*AE3</f>
        <v>243169.86097659916</v>
      </c>
      <c r="AK3" s="33">
        <v>0.29459999999999997</v>
      </c>
    </row>
    <row r="4" spans="1:37" s="2" customFormat="1" x14ac:dyDescent="0.25">
      <c r="A4" s="13"/>
      <c r="B4" s="19"/>
      <c r="C4" s="37" t="s">
        <v>1</v>
      </c>
      <c r="D4" s="37"/>
      <c r="E4" s="20" t="s">
        <v>2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AB4" s="3"/>
      <c r="AC4" s="3"/>
      <c r="AD4" s="3"/>
      <c r="AE4" s="31">
        <v>54</v>
      </c>
      <c r="AF4" s="27">
        <v>150000</v>
      </c>
      <c r="AG4" s="32">
        <v>4748.1351559397899</v>
      </c>
      <c r="AH4" s="29">
        <f>RATE(AE4,AG4,-AF4,,0)</f>
        <v>2.1750000000000103E-2</v>
      </c>
      <c r="AI4" s="30">
        <f t="shared" ref="AI4:AI5" si="0">AH4/1.16</f>
        <v>1.875000000000009E-2</v>
      </c>
      <c r="AJ4" s="27">
        <f>AG4*AE4</f>
        <v>256399.29842074864</v>
      </c>
      <c r="AK4" s="33">
        <v>0.29459999999999997</v>
      </c>
    </row>
    <row r="5" spans="1:37" s="2" customFormat="1" ht="15.75" x14ac:dyDescent="0.25">
      <c r="A5" s="13"/>
      <c r="B5" s="19"/>
      <c r="C5" s="37" t="s">
        <v>9</v>
      </c>
      <c r="D5" s="39"/>
      <c r="E5" s="1" t="s">
        <v>22</v>
      </c>
      <c r="F5" s="19"/>
      <c r="G5" s="36" t="s">
        <v>25</v>
      </c>
      <c r="H5" s="36"/>
      <c r="I5" s="36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AB5" s="3"/>
      <c r="AC5" s="3"/>
      <c r="AD5" s="3"/>
      <c r="AE5" s="31">
        <v>60</v>
      </c>
      <c r="AF5" s="27">
        <v>150000</v>
      </c>
      <c r="AG5" s="32">
        <v>4499.9548938839653</v>
      </c>
      <c r="AH5" s="29">
        <f>RATE(AE5,AG5,-AF5,,0)</f>
        <v>2.1750000000000044E-2</v>
      </c>
      <c r="AI5" s="30">
        <f t="shared" si="0"/>
        <v>1.8750000000000037E-2</v>
      </c>
      <c r="AJ5" s="27">
        <f>AG5*AE5</f>
        <v>269997.29363303795</v>
      </c>
      <c r="AK5" s="33">
        <v>0.29459999999999997</v>
      </c>
    </row>
    <row r="6" spans="1:37" s="2" customFormat="1" ht="15" customHeight="1" x14ac:dyDescent="0.25">
      <c r="A6" s="13"/>
      <c r="B6" s="19"/>
      <c r="C6" s="20"/>
      <c r="D6" s="20"/>
      <c r="E6" s="19"/>
      <c r="F6" s="19"/>
      <c r="G6" s="36"/>
      <c r="H6" s="36"/>
      <c r="I6" s="36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AB6" s="3"/>
      <c r="AC6" s="3"/>
      <c r="AD6" s="3"/>
      <c r="AE6" s="31"/>
      <c r="AF6" s="27"/>
      <c r="AG6" s="32"/>
      <c r="AH6" s="29"/>
      <c r="AI6" s="30"/>
      <c r="AJ6" s="27"/>
      <c r="AK6" s="25"/>
    </row>
    <row r="7" spans="1:37" s="2" customFormat="1" ht="18.75" x14ac:dyDescent="0.3">
      <c r="A7" s="13"/>
      <c r="B7" s="19"/>
      <c r="C7" s="37" t="str">
        <f>IF(E5="MONTO","Ingrese el Monto:","Ingrese la capacidad:")</f>
        <v>Ingrese el Monto:</v>
      </c>
      <c r="D7" s="37"/>
      <c r="E7" s="11">
        <v>600000</v>
      </c>
      <c r="F7" s="19"/>
      <c r="G7" s="36"/>
      <c r="H7" s="36"/>
      <c r="I7" s="36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AB7" s="3"/>
      <c r="AC7" s="3"/>
      <c r="AD7" s="3"/>
      <c r="AE7" s="3"/>
      <c r="AF7" s="15"/>
      <c r="AG7" s="18"/>
      <c r="AH7" s="3"/>
      <c r="AI7" s="3"/>
      <c r="AJ7" s="3"/>
    </row>
    <row r="8" spans="1:37" s="2" customFormat="1" x14ac:dyDescent="0.25">
      <c r="A8" s="1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AB8" s="3"/>
      <c r="AC8" s="3"/>
      <c r="AD8" s="3"/>
      <c r="AE8" s="3"/>
      <c r="AF8" s="15"/>
      <c r="AG8" s="18"/>
      <c r="AH8" s="4"/>
      <c r="AI8" s="4"/>
      <c r="AJ8" s="3"/>
    </row>
    <row r="9" spans="1:37" s="2" customFormat="1" x14ac:dyDescent="0.25">
      <c r="A9" s="13"/>
      <c r="B9" s="19"/>
      <c r="C9" s="5" t="s">
        <v>3</v>
      </c>
      <c r="D9" s="5" t="s">
        <v>4</v>
      </c>
      <c r="E9" s="5" t="s">
        <v>5</v>
      </c>
      <c r="F9" s="5" t="s">
        <v>19</v>
      </c>
      <c r="G9" s="5" t="s">
        <v>20</v>
      </c>
      <c r="H9" s="5" t="s">
        <v>10</v>
      </c>
      <c r="I9" s="5" t="s">
        <v>7</v>
      </c>
      <c r="J9" s="5" t="s">
        <v>11</v>
      </c>
      <c r="K9" s="5" t="s">
        <v>12</v>
      </c>
      <c r="L9" s="5" t="s">
        <v>6</v>
      </c>
      <c r="M9" s="19"/>
      <c r="N9" s="19"/>
      <c r="O9" s="19"/>
      <c r="P9" s="19"/>
      <c r="Q9" s="19"/>
      <c r="R9" s="19"/>
      <c r="S9" s="19"/>
      <c r="T9" s="19"/>
      <c r="U9" s="19"/>
      <c r="V9" s="19"/>
      <c r="AB9" s="3"/>
      <c r="AC9" s="3"/>
      <c r="AD9" s="3"/>
      <c r="AE9" s="3"/>
      <c r="AF9" s="15"/>
      <c r="AG9" s="18"/>
      <c r="AH9" s="4"/>
      <c r="AI9" s="4"/>
      <c r="AJ9" s="3"/>
    </row>
    <row r="10" spans="1:37" s="2" customFormat="1" x14ac:dyDescent="0.25">
      <c r="A10" s="12">
        <v>36</v>
      </c>
      <c r="B10" s="19"/>
      <c r="C10" s="6" t="str">
        <f>CONCATENATE(A10," M")</f>
        <v>36 M</v>
      </c>
      <c r="D10" s="17">
        <f>IF(IF($E$5="MONTO",IF((IF(MOD($E$7,500)=0,$E$7,$E$7-MOD($E$7,500)))&gt;600000,600000,IF(MOD($E$7,500)=0,$E$7,$E$7-MOD($E$7,500))),IF(((1-(1+F10)^(-A10))/(F10))*$E$7&gt;1000000,1000000,IF(MOD(((1-(1+F10)^(-A10))/(F10))*$E$7,500)=0,((1-(1+F10)^(-A10))/(F10))*$E$7,((1-(1+F10)^(-A10))/(F10))*$E$7-MOD(((1-(1+F10)^(-A10))/(F10))*$E$7,500))))&gt;=100000,
IF($E$5="MONTO",IF((IF(MOD($E$7,500)=0,$E$7,$E$7-MOD($E$7,500)))&gt;600000,600000,IF(MOD($E$7,500)=0,$E$7,$E$7-MOD($E$7,500))),IF(((1-(1+F10)^(-A10))/(F10))*$E$7&gt;1000000,1000000,IF(MOD(((1-(1+F10)^(-A10))/(F10))*$E$7,500)=0,((1-(1+F10)^(-A10))/(F10))*$E$7,((1-(1+F10)^(-A10))/(F10))*$E$7-MOD(((1-(1+F10)^(-A10))/(F10))*$E$7,500)))),
0)</f>
        <v>600000</v>
      </c>
      <c r="E10" s="7">
        <f>-PMT(F10,A10,D10,,0)</f>
        <v>24206.345618510655</v>
      </c>
      <c r="F10" s="8">
        <f>VLOOKUP(A10,$AE:$AH,4,0)</f>
        <v>2.1749999999999981E-2</v>
      </c>
      <c r="G10" s="35">
        <f>F10/1.16</f>
        <v>1.8749999999999985E-2</v>
      </c>
      <c r="H10" s="8">
        <f t="shared" ref="H10" si="1">IFERROR(((L10-I10)/I10)/A10,0)</f>
        <v>1.2566131586406647E-2</v>
      </c>
      <c r="I10" s="7">
        <f t="shared" ref="I10" si="2">D10</f>
        <v>600000</v>
      </c>
      <c r="J10" s="7">
        <f t="shared" ref="J10" si="3">(L10-I10)/1.16</f>
        <v>233990.03643653757</v>
      </c>
      <c r="K10" s="7">
        <f t="shared" ref="K10" si="4">J10*16%</f>
        <v>37438.405829846015</v>
      </c>
      <c r="L10" s="7">
        <f t="shared" ref="L10" si="5">E10*A10</f>
        <v>871428.44226638356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AB10" s="3"/>
      <c r="AC10" s="3"/>
      <c r="AD10" s="3"/>
      <c r="AE10" s="3"/>
      <c r="AF10" s="15"/>
      <c r="AG10" s="18"/>
      <c r="AH10" s="4"/>
      <c r="AI10" s="4"/>
      <c r="AJ10" s="3"/>
    </row>
    <row r="11" spans="1:37" s="2" customFormat="1" x14ac:dyDescent="0.25">
      <c r="A11" s="12">
        <v>48</v>
      </c>
      <c r="B11" s="19"/>
      <c r="C11" s="6" t="str">
        <f t="shared" ref="C11:C13" si="6">CONCATENATE(A11," M")</f>
        <v>48 M</v>
      </c>
      <c r="D11" s="17">
        <f t="shared" ref="D11:D13" si="7">IF(IF($E$5="MONTO",IF((IF(MOD($E$7,500)=0,$E$7,$E$7-MOD($E$7,500)))&gt;1000000,1000000,IF(MOD($E$7,500)=0,$E$7,$E$7-MOD($E$7,500))),IF(((1-(1+F11)^(-A11))/(F11))*$E$7&gt;1000000,1000000,IF(MOD(((1-(1+F11)^(-A11))/(F11))*$E$7,500)=0,((1-(1+F11)^(-A11))/(F11))*$E$7,((1-(1+F11)^(-A11))/(F11))*$E$7-MOD(((1-(1+F11)^(-A11))/(F11))*$E$7,500))))&gt;=100000,
IF($E$5="MONTO",IF((IF(MOD($E$7,500)=0,$E$7,$E$7-MOD($E$7,500)))&gt;1000000,1000000,IF(MOD($E$7,500)=0,$E$7,$E$7-MOD($E$7,500))),IF(((1-(1+F11)^(-A11))/(F11))*$E$7&gt;1000000,1000000,IF(MOD(((1-(1+F11)^(-A11))/(F11))*$E$7,500)=0,((1-(1+F11)^(-A11))/(F11))*$E$7,((1-(1+F11)^(-A11))/(F11))*$E$7-MOD(((1-(1+F11)^(-A11))/(F11))*$E$7,500)))),
0)</f>
        <v>600000</v>
      </c>
      <c r="E11" s="7">
        <f t="shared" ref="E11:E13" si="8">-PMT(F11,A11,D11,,0)</f>
        <v>20264.155081383746</v>
      </c>
      <c r="F11" s="8">
        <f>VLOOKUP(A11,$AE:$AH,4,0)</f>
        <v>2.1750000000001202E-2</v>
      </c>
      <c r="G11" s="35">
        <f t="shared" ref="G11" si="9">F11/1.16</f>
        <v>1.8750000000001037E-2</v>
      </c>
      <c r="H11" s="8">
        <f t="shared" ref="H11:H13" si="10">IFERROR(((L11-I11)/I11)/A11,0)</f>
        <v>1.294025846897291E-2</v>
      </c>
      <c r="I11" s="7">
        <f t="shared" ref="I11:I13" si="11">D11</f>
        <v>600000</v>
      </c>
      <c r="J11" s="7">
        <f t="shared" ref="J11:J13" si="12">(L11-I11)/1.16</f>
        <v>321275.3826779481</v>
      </c>
      <c r="K11" s="7">
        <f t="shared" ref="K11:K13" si="13">J11*16%</f>
        <v>51404.061228471699</v>
      </c>
      <c r="L11" s="7">
        <f t="shared" ref="L11:L13" si="14">E11*A11</f>
        <v>972679.44390641979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AE11" s="3"/>
      <c r="AF11" s="15"/>
      <c r="AG11" s="18"/>
      <c r="AH11" s="3"/>
      <c r="AI11" s="3"/>
      <c r="AJ11" s="3"/>
    </row>
    <row r="12" spans="1:37" s="2" customFormat="1" x14ac:dyDescent="0.25">
      <c r="A12" s="12">
        <v>54</v>
      </c>
      <c r="B12" s="19"/>
      <c r="C12" s="6" t="str">
        <f t="shared" si="6"/>
        <v>54 M</v>
      </c>
      <c r="D12" s="17">
        <f t="shared" si="7"/>
        <v>600000</v>
      </c>
      <c r="E12" s="7">
        <f t="shared" si="8"/>
        <v>18992.540623759203</v>
      </c>
      <c r="F12" s="8">
        <f>VLOOKUP(A12,$AE:$AH,4,0)</f>
        <v>2.1750000000000103E-2</v>
      </c>
      <c r="G12" s="35">
        <f t="shared" ref="G12" si="15">F12/1.16</f>
        <v>1.875000000000009E-2</v>
      </c>
      <c r="H12" s="8">
        <f t="shared" si="10"/>
        <v>1.3135715854413489E-2</v>
      </c>
      <c r="I12" s="7">
        <f t="shared" si="11"/>
        <v>600000</v>
      </c>
      <c r="J12" s="7">
        <f t="shared" si="12"/>
        <v>366894.13248534227</v>
      </c>
      <c r="K12" s="7">
        <f t="shared" si="13"/>
        <v>58703.061197654766</v>
      </c>
      <c r="L12" s="7">
        <f t="shared" si="14"/>
        <v>1025597.193682997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AE12" s="3"/>
      <c r="AF12" s="15"/>
      <c r="AG12" s="18"/>
      <c r="AH12" s="3"/>
      <c r="AI12" s="3"/>
      <c r="AJ12" s="3"/>
    </row>
    <row r="13" spans="1:37" s="2" customFormat="1" x14ac:dyDescent="0.25">
      <c r="A13" s="12">
        <v>60</v>
      </c>
      <c r="B13" s="19"/>
      <c r="C13" s="6" t="str">
        <f t="shared" si="6"/>
        <v>60 M</v>
      </c>
      <c r="D13" s="17">
        <f t="shared" si="7"/>
        <v>600000</v>
      </c>
      <c r="E13" s="7">
        <f t="shared" si="8"/>
        <v>17999.819575535879</v>
      </c>
      <c r="F13" s="8">
        <f>VLOOKUP(A13,$AE:$AH,4,0)</f>
        <v>2.1750000000000044E-2</v>
      </c>
      <c r="G13" s="35">
        <f t="shared" ref="G13" si="16">F13/1.16</f>
        <v>1.8750000000000037E-2</v>
      </c>
      <c r="H13" s="8">
        <f t="shared" si="10"/>
        <v>1.3333032625893131E-2</v>
      </c>
      <c r="I13" s="7">
        <f t="shared" si="11"/>
        <v>600000</v>
      </c>
      <c r="J13" s="7">
        <f t="shared" si="12"/>
        <v>413783.77114840754</v>
      </c>
      <c r="K13" s="7">
        <f t="shared" si="13"/>
        <v>66205.403383745201</v>
      </c>
      <c r="L13" s="7">
        <f t="shared" si="14"/>
        <v>1079989.1745321527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AE13" s="3"/>
      <c r="AF13" s="15"/>
      <c r="AG13" s="18"/>
      <c r="AH13" s="3"/>
      <c r="AI13" s="3"/>
      <c r="AJ13" s="3"/>
    </row>
    <row r="14" spans="1:37" s="2" customFormat="1" x14ac:dyDescent="0.25">
      <c r="A14" s="13"/>
      <c r="B14" s="19"/>
      <c r="C14" s="21" t="s">
        <v>8</v>
      </c>
      <c r="D14" s="19"/>
      <c r="E14" s="19"/>
      <c r="F14" s="19"/>
      <c r="G14" s="19"/>
      <c r="H14" s="19"/>
      <c r="I14" s="19"/>
      <c r="J14" s="19"/>
      <c r="K14" s="19"/>
      <c r="L14" s="22"/>
      <c r="M14" s="19"/>
      <c r="N14" s="19"/>
      <c r="O14" s="19"/>
      <c r="P14" s="19"/>
      <c r="Q14" s="19"/>
      <c r="R14" s="19"/>
      <c r="S14" s="19"/>
      <c r="T14" s="19"/>
      <c r="U14" s="19"/>
      <c r="V14" s="19"/>
      <c r="AE14" s="3"/>
      <c r="AF14" s="15"/>
      <c r="AG14" s="18"/>
      <c r="AH14" s="4"/>
      <c r="AI14" s="4"/>
      <c r="AJ14" s="3"/>
    </row>
    <row r="15" spans="1:37" s="2" customFormat="1" x14ac:dyDescent="0.25">
      <c r="A15" s="13"/>
      <c r="B15" s="19"/>
      <c r="C15" s="21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AG15" s="23"/>
    </row>
    <row r="16" spans="1:37" s="2" customForma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AG16" s="23"/>
    </row>
    <row r="17" spans="1:36" s="2" customFormat="1" x14ac:dyDescent="0.25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AG17" s="23"/>
    </row>
    <row r="18" spans="1:36" s="2" customFormat="1" x14ac:dyDescent="0.25">
      <c r="A18" s="1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AG18" s="23"/>
    </row>
    <row r="19" spans="1:36" s="2" customFormat="1" x14ac:dyDescent="0.25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AG19" s="23"/>
    </row>
    <row r="20" spans="1:36" s="2" customFormat="1" x14ac:dyDescent="0.25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AE20" s="3"/>
      <c r="AF20" s="15"/>
      <c r="AG20" s="18"/>
      <c r="AH20" s="3"/>
      <c r="AI20" s="3"/>
      <c r="AJ20" s="3"/>
    </row>
    <row r="21" spans="1:36" s="2" customFormat="1" x14ac:dyDescent="0.25">
      <c r="A21" s="1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AE21" s="3"/>
      <c r="AF21" s="15"/>
      <c r="AG21" s="18"/>
      <c r="AH21" s="3"/>
      <c r="AI21" s="3"/>
      <c r="AJ21" s="3"/>
    </row>
    <row r="22" spans="1:36" x14ac:dyDescent="0.2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36" x14ac:dyDescent="0.25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36" x14ac:dyDescent="0.25">
      <c r="A24" s="1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36" x14ac:dyDescent="0.25">
      <c r="A25" s="1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36" x14ac:dyDescent="0.25">
      <c r="A26" s="13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36" x14ac:dyDescent="0.25">
      <c r="A27" s="1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36" x14ac:dyDescent="0.25">
      <c r="A28" s="13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36" x14ac:dyDescent="0.25">
      <c r="A29" s="1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36" x14ac:dyDescent="0.25">
      <c r="A30" s="1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36" x14ac:dyDescent="0.25">
      <c r="A31" s="1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36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x14ac:dyDescent="0.25">
      <c r="A33" s="1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x14ac:dyDescent="0.25">
      <c r="A34" s="13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5">
      <c r="A36" s="13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5">
      <c r="A37" s="13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x14ac:dyDescent="0.25">
      <c r="A39" s="13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5">
      <c r="A40" s="1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x14ac:dyDescent="0.25">
      <c r="A41" s="1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x14ac:dyDescent="0.25">
      <c r="A42" s="13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x14ac:dyDescent="0.25">
      <c r="A43" s="13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x14ac:dyDescent="0.25">
      <c r="A44" s="13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x14ac:dyDescent="0.25">
      <c r="A45" s="13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x14ac:dyDescent="0.25">
      <c r="A46" s="13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</sheetData>
  <sheetProtection algorithmName="SHA-512" hashValue="lLzIzKcHjYx6XJAdnHs4S5EAJ6kGKGq8ej/TL0FdiFRCvsHIYt1waRN1xP3QtHdm2o9MjuUp84qrziEtd4s3Dg==" saltValue="ap/+zTKwiWea5im7hVu8SQ==" spinCount="100000" sheet="1" objects="1" scenarios="1" selectLockedCells="1"/>
  <mergeCells count="6">
    <mergeCell ref="G5:I7"/>
    <mergeCell ref="C7:D7"/>
    <mergeCell ref="E3:F3"/>
    <mergeCell ref="C3:D3"/>
    <mergeCell ref="C4:D4"/>
    <mergeCell ref="C5:D5"/>
  </mergeCells>
  <dataValidations count="1">
    <dataValidation type="list" allowBlank="1" showInputMessage="1" showErrorMessage="1" sqref="E5" xr:uid="{00000000-0002-0000-0000-000000000000}">
      <formula1>"Monto, Capacidad"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9AD7-AF06-4FD7-B770-EDD8DC3D0DD9}">
  <dimension ref="A1:AK44"/>
  <sheetViews>
    <sheetView showGridLines="0" topLeftCell="B1" zoomScale="140" zoomScaleNormal="140" workbookViewId="0">
      <selection activeCell="E7" sqref="E7"/>
    </sheetView>
  </sheetViews>
  <sheetFormatPr baseColWidth="10" defaultRowHeight="15" x14ac:dyDescent="0.25"/>
  <cols>
    <col min="1" max="1" width="3.140625" style="14" hidden="1" customWidth="1"/>
    <col min="2" max="2" width="2.42578125" style="9" customWidth="1"/>
    <col min="3" max="3" width="11.42578125" style="9"/>
    <col min="4" max="4" width="15" style="9" bestFit="1" customWidth="1"/>
    <col min="5" max="5" width="16.42578125" style="9" customWidth="1"/>
    <col min="6" max="6" width="13" style="9" customWidth="1"/>
    <col min="7" max="7" width="12.7109375" style="9" bestFit="1" customWidth="1"/>
    <col min="8" max="8" width="14.140625" style="9" bestFit="1" customWidth="1"/>
    <col min="9" max="12" width="18.7109375" style="9" customWidth="1"/>
    <col min="13" max="13" width="11.85546875" style="9" bestFit="1" customWidth="1"/>
    <col min="14" max="30" width="11.42578125" style="9"/>
    <col min="31" max="31" width="6.7109375" style="10" bestFit="1" customWidth="1"/>
    <col min="32" max="32" width="13.28515625" style="16" bestFit="1" customWidth="1"/>
    <col min="33" max="33" width="13.140625" style="24" bestFit="1" customWidth="1"/>
    <col min="34" max="34" width="12" style="10" bestFit="1" customWidth="1"/>
    <col min="35" max="35" width="12.5703125" style="10" bestFit="1" customWidth="1"/>
    <col min="36" max="36" width="14.28515625" style="10" bestFit="1" customWidth="1"/>
    <col min="37" max="16384" width="11.42578125" style="9"/>
  </cols>
  <sheetData>
    <row r="1" spans="1:37" s="2" customFormat="1" ht="14.45" customHeight="1" x14ac:dyDescent="0.25">
      <c r="A1" s="13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AB1" s="3"/>
      <c r="AC1" s="3"/>
      <c r="AD1" s="3"/>
      <c r="AE1" s="3" t="s">
        <v>14</v>
      </c>
      <c r="AF1" s="15" t="s">
        <v>13</v>
      </c>
      <c r="AG1" s="18" t="s">
        <v>15</v>
      </c>
      <c r="AH1" s="3" t="s">
        <v>16</v>
      </c>
      <c r="AI1" s="3" t="s">
        <v>17</v>
      </c>
      <c r="AJ1" s="3" t="s">
        <v>21</v>
      </c>
      <c r="AK1" s="2" t="s">
        <v>24</v>
      </c>
    </row>
    <row r="2" spans="1:37" s="2" customFormat="1" ht="16.5" x14ac:dyDescent="0.3">
      <c r="A2" s="13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AB2" s="3"/>
      <c r="AC2" s="3"/>
      <c r="AD2" s="3"/>
      <c r="AE2" s="26"/>
      <c r="AF2" s="27"/>
      <c r="AG2" s="28"/>
      <c r="AH2" s="29"/>
      <c r="AI2" s="30"/>
      <c r="AJ2" s="27"/>
      <c r="AK2" s="33"/>
    </row>
    <row r="3" spans="1:37" s="2" customFormat="1" ht="16.5" x14ac:dyDescent="0.3">
      <c r="A3" s="13"/>
      <c r="B3" s="19"/>
      <c r="C3" s="37" t="s">
        <v>0</v>
      </c>
      <c r="D3" s="37"/>
      <c r="E3" s="38" t="s">
        <v>23</v>
      </c>
      <c r="F3" s="3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AB3" s="3"/>
      <c r="AC3" s="3"/>
      <c r="AD3" s="3"/>
      <c r="AE3" s="31"/>
      <c r="AF3" s="27"/>
      <c r="AG3" s="28"/>
      <c r="AH3" s="29"/>
      <c r="AI3" s="30"/>
      <c r="AJ3" s="27"/>
      <c r="AK3" s="33"/>
    </row>
    <row r="4" spans="1:37" s="2" customFormat="1" x14ac:dyDescent="0.25">
      <c r="A4" s="13"/>
      <c r="B4" s="19"/>
      <c r="C4" s="37" t="s">
        <v>1</v>
      </c>
      <c r="D4" s="37"/>
      <c r="E4" s="34" t="s">
        <v>2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AB4" s="3"/>
      <c r="AC4" s="3"/>
      <c r="AD4" s="3"/>
      <c r="AE4" s="31">
        <v>54</v>
      </c>
      <c r="AF4" s="27">
        <v>95000</v>
      </c>
      <c r="AG4" s="32">
        <v>3168.4748607047409</v>
      </c>
      <c r="AH4" s="29">
        <f t="shared" ref="AH4:AH5" si="0">RATE(AE4,AG4,-AF4,,0)</f>
        <v>2.41666666666666E-2</v>
      </c>
      <c r="AI4" s="30">
        <f t="shared" ref="AI4:AI5" si="1">AH4/1.16</f>
        <v>2.0833333333333277E-2</v>
      </c>
      <c r="AJ4" s="27">
        <f>AG4*AE4</f>
        <v>171097.64247805602</v>
      </c>
      <c r="AK4" s="33">
        <v>0.33179999999999998</v>
      </c>
    </row>
    <row r="5" spans="1:37" s="2" customFormat="1" ht="15.75" x14ac:dyDescent="0.25">
      <c r="A5" s="13"/>
      <c r="B5" s="19"/>
      <c r="C5" s="37" t="s">
        <v>9</v>
      </c>
      <c r="D5" s="39"/>
      <c r="E5" s="1" t="s">
        <v>22</v>
      </c>
      <c r="F5" s="19"/>
      <c r="G5" s="36" t="s">
        <v>26</v>
      </c>
      <c r="H5" s="36"/>
      <c r="I5" s="36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AB5" s="3"/>
      <c r="AC5" s="3"/>
      <c r="AD5" s="3"/>
      <c r="AE5" s="31">
        <v>60</v>
      </c>
      <c r="AF5" s="27">
        <v>95000</v>
      </c>
      <c r="AG5" s="32">
        <v>3015.4776579784434</v>
      </c>
      <c r="AH5" s="29">
        <f t="shared" si="0"/>
        <v>2.4166666666666548E-2</v>
      </c>
      <c r="AI5" s="30">
        <f t="shared" si="1"/>
        <v>2.0833333333333232E-2</v>
      </c>
      <c r="AJ5" s="27">
        <f>AG5*AE5</f>
        <v>180928.6594787066</v>
      </c>
      <c r="AK5" s="33">
        <v>0.33179999999999998</v>
      </c>
    </row>
    <row r="6" spans="1:37" s="2" customFormat="1" ht="15" customHeight="1" x14ac:dyDescent="0.25">
      <c r="A6" s="13"/>
      <c r="B6" s="19"/>
      <c r="C6" s="34"/>
      <c r="D6" s="34"/>
      <c r="E6" s="19"/>
      <c r="F6" s="19"/>
      <c r="G6" s="36"/>
      <c r="H6" s="36"/>
      <c r="I6" s="36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AB6" s="3"/>
      <c r="AC6" s="3"/>
      <c r="AD6" s="3"/>
      <c r="AE6" s="31"/>
      <c r="AF6" s="27"/>
      <c r="AG6" s="32"/>
      <c r="AH6" s="29"/>
      <c r="AI6" s="30"/>
      <c r="AJ6" s="27"/>
      <c r="AK6" s="25"/>
    </row>
    <row r="7" spans="1:37" s="2" customFormat="1" ht="18.75" x14ac:dyDescent="0.3">
      <c r="A7" s="13"/>
      <c r="B7" s="19"/>
      <c r="C7" s="37" t="str">
        <f>IF(E5="MONTO","Ingrese el Monto:","Ingrese la capacidad:")</f>
        <v>Ingrese el Monto:</v>
      </c>
      <c r="D7" s="37"/>
      <c r="E7" s="11">
        <v>50000</v>
      </c>
      <c r="F7" s="19"/>
      <c r="G7" s="36"/>
      <c r="H7" s="36"/>
      <c r="I7" s="36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AB7" s="3"/>
      <c r="AC7" s="3"/>
      <c r="AD7" s="3"/>
      <c r="AE7" s="3"/>
      <c r="AF7" s="15"/>
      <c r="AG7" s="18"/>
      <c r="AH7" s="3"/>
      <c r="AI7" s="3"/>
      <c r="AJ7" s="3"/>
    </row>
    <row r="8" spans="1:37" s="2" customFormat="1" x14ac:dyDescent="0.25">
      <c r="A8" s="1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AB8" s="3"/>
      <c r="AC8" s="3"/>
      <c r="AD8" s="3"/>
      <c r="AE8" s="3"/>
      <c r="AF8" s="15"/>
      <c r="AG8" s="18"/>
      <c r="AH8" s="4"/>
      <c r="AI8" s="4"/>
      <c r="AJ8" s="3"/>
    </row>
    <row r="9" spans="1:37" s="2" customFormat="1" x14ac:dyDescent="0.25">
      <c r="A9" s="13"/>
      <c r="B9" s="19"/>
      <c r="C9" s="5" t="s">
        <v>3</v>
      </c>
      <c r="D9" s="5" t="s">
        <v>4</v>
      </c>
      <c r="E9" s="5" t="s">
        <v>5</v>
      </c>
      <c r="F9" s="5" t="s">
        <v>19</v>
      </c>
      <c r="G9" s="5" t="s">
        <v>20</v>
      </c>
      <c r="H9" s="5" t="s">
        <v>10</v>
      </c>
      <c r="I9" s="5" t="s">
        <v>7</v>
      </c>
      <c r="J9" s="5" t="s">
        <v>11</v>
      </c>
      <c r="K9" s="5" t="s">
        <v>12</v>
      </c>
      <c r="L9" s="5" t="s">
        <v>6</v>
      </c>
      <c r="M9" s="19"/>
      <c r="N9" s="19"/>
      <c r="O9" s="19"/>
      <c r="P9" s="19"/>
      <c r="Q9" s="19"/>
      <c r="R9" s="19"/>
      <c r="S9" s="19"/>
      <c r="T9" s="19"/>
      <c r="U9" s="19"/>
      <c r="V9" s="19"/>
      <c r="AB9" s="3"/>
      <c r="AC9" s="3"/>
      <c r="AD9" s="3"/>
      <c r="AE9" s="3"/>
      <c r="AF9" s="15"/>
      <c r="AG9" s="18"/>
      <c r="AH9" s="4"/>
      <c r="AI9" s="4"/>
      <c r="AJ9" s="3"/>
    </row>
    <row r="10" spans="1:37" s="2" customFormat="1" x14ac:dyDescent="0.25">
      <c r="A10" s="12">
        <v>54</v>
      </c>
      <c r="B10" s="19"/>
      <c r="C10" s="6" t="str">
        <f t="shared" ref="C10:C11" si="2">CONCATENATE(A10," M")</f>
        <v>54 M</v>
      </c>
      <c r="D10" s="17">
        <f>IF(IF($E$5="MONTO",IF((IF(MOD($E$7,500)=0,$E$7,$E$7-MOD($E$7,500)))&gt;100000,100000,IF(MOD($E$7,500)=0,$E$7,$E$7-MOD($E$7,500))),IF(((1-(1+F10)^(-A10))/(F10))*$E$7&gt;1000000,1000000,IF(MOD(((1-(1+F10)^(-A10))/(F10))*$E$7,500)=0,((1-(1+F10)^(-A10))/(F10))*$E$7,((1-(1+F10)^(-A10))/(F10))*$E$7-MOD(((1-(1+F10)^(-A10))/(F10))*$E$7,500))))&gt;=10000,
IF($E$5="MONTO",IF((IF(MOD($E$7,500)=0,$E$7,$E$7-MOD($E$7,500)))&gt;100000,100000,IF(MOD($E$7,500)=0,$E$7,$E$7-MOD($E$7,500))),IF(((1-(1+F10)^(-A10))/(F10))*$E$7&gt;1000000,1000000,IF(MOD(((1-(1+F10)^(-A10))/(F10))*$E$7,500)=0,((1-(1+F10)^(-A10))/(F10))*$E$7,((1-(1+F10)^(-A10))/(F10))*$E$7-MOD(((1-(1+F10)^(-A10))/(F10))*$E$7,500)))),
0)</f>
        <v>50000</v>
      </c>
      <c r="E10" s="7">
        <f t="shared" ref="E10:E11" si="3">-PMT(F10,A10,D10,,0)</f>
        <v>1667.6183477393351</v>
      </c>
      <c r="F10" s="8">
        <f>VLOOKUP(A10,$AE:$AH,4,0)</f>
        <v>2.41666666666666E-2</v>
      </c>
      <c r="G10" s="8">
        <f t="shared" ref="G10:G11" si="4">F10/1.16</f>
        <v>2.0833333333333277E-2</v>
      </c>
      <c r="H10" s="8">
        <f t="shared" ref="H10:H11" si="5">IFERROR(((L10-I10)/I10)/A10,0)</f>
        <v>1.4833848436268185E-2</v>
      </c>
      <c r="I10" s="7">
        <f t="shared" ref="I10:I11" si="6">D10</f>
        <v>50000</v>
      </c>
      <c r="J10" s="7">
        <f t="shared" ref="J10:J11" si="7">(L10-I10)/1.16</f>
        <v>34527.061015451814</v>
      </c>
      <c r="K10" s="7">
        <f t="shared" ref="K10:K11" si="8">J10*16%</f>
        <v>5524.32976247229</v>
      </c>
      <c r="L10" s="7">
        <f t="shared" ref="L10:L11" si="9">E10*A10</f>
        <v>90051.390777924098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AE10" s="3"/>
      <c r="AF10" s="15"/>
      <c r="AG10" s="18"/>
      <c r="AH10" s="3"/>
      <c r="AI10" s="3"/>
      <c r="AJ10" s="3"/>
    </row>
    <row r="11" spans="1:37" s="2" customFormat="1" x14ac:dyDescent="0.25">
      <c r="A11" s="12">
        <v>60</v>
      </c>
      <c r="B11" s="19"/>
      <c r="C11" s="6" t="str">
        <f t="shared" si="2"/>
        <v>60 M</v>
      </c>
      <c r="D11" s="17">
        <f>IF(IF($E$5="MONTO",IF((IF(MOD($E$7,500)=0,$E$7,$E$7-MOD($E$7,500)))&gt;100000,100000,IF(MOD($E$7,500)=0,$E$7,$E$7-MOD($E$7,500))),IF(((1-(1+F11)^(-A11))/(F11))*$E$7&gt;1000000,1000000,IF(MOD(((1-(1+F11)^(-A11))/(F11))*$E$7,500)=0,((1-(1+F11)^(-A11))/(F11))*$E$7,((1-(1+F11)^(-A11))/(F11))*$E$7-MOD(((1-(1+F11)^(-A11))/(F11))*$E$7,500))))&gt;=10000,
IF($E$5="MONTO",IF((IF(MOD($E$7,500)=0,$E$7,$E$7-MOD($E$7,500)))&gt;100000,100000,IF(MOD($E$7,500)=0,$E$7,$E$7-MOD($E$7,500))),IF(((1-(1+F11)^(-A11))/(F11))*$E$7&gt;1000000,1000000,IF(MOD(((1-(1+F11)^(-A11))/(F11))*$E$7,500)=0,((1-(1+F11)^(-A11))/(F11))*$E$7,((1-(1+F11)^(-A11))/(F11))*$E$7-MOD(((1-(1+F11)^(-A11))/(F11))*$E$7,500)))),
0)</f>
        <v>50000</v>
      </c>
      <c r="E11" s="7">
        <f t="shared" si="3"/>
        <v>1587.0935041991763</v>
      </c>
      <c r="F11" s="8">
        <f>VLOOKUP(A11,$AE:$AH,4,0)</f>
        <v>2.4166666666666548E-2</v>
      </c>
      <c r="G11" s="8">
        <f t="shared" si="4"/>
        <v>2.0833333333333232E-2</v>
      </c>
      <c r="H11" s="8">
        <f t="shared" si="5"/>
        <v>1.507520341731686E-2</v>
      </c>
      <c r="I11" s="7">
        <f t="shared" si="6"/>
        <v>50000</v>
      </c>
      <c r="J11" s="7">
        <f t="shared" si="7"/>
        <v>38987.595044784983</v>
      </c>
      <c r="K11" s="7">
        <f t="shared" si="8"/>
        <v>6238.0152071655975</v>
      </c>
      <c r="L11" s="7">
        <f t="shared" si="9"/>
        <v>95225.61025195058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AE11" s="3"/>
      <c r="AF11" s="15"/>
      <c r="AG11" s="18"/>
      <c r="AH11" s="3"/>
      <c r="AI11" s="3"/>
      <c r="AJ11" s="3"/>
    </row>
    <row r="12" spans="1:37" s="2" customFormat="1" x14ac:dyDescent="0.25">
      <c r="A12" s="13"/>
      <c r="B12" s="19"/>
      <c r="C12" s="21" t="s">
        <v>8</v>
      </c>
      <c r="D12" s="19"/>
      <c r="E12" s="19"/>
      <c r="F12" s="19"/>
      <c r="G12" s="19"/>
      <c r="H12" s="19"/>
      <c r="I12" s="19"/>
      <c r="J12" s="19"/>
      <c r="K12" s="19"/>
      <c r="L12" s="22"/>
      <c r="M12" s="19"/>
      <c r="N12" s="19"/>
      <c r="O12" s="19"/>
      <c r="P12" s="19"/>
      <c r="Q12" s="19"/>
      <c r="R12" s="19"/>
      <c r="S12" s="19"/>
      <c r="T12" s="19"/>
      <c r="U12" s="19"/>
      <c r="V12" s="19"/>
      <c r="AE12" s="3"/>
      <c r="AF12" s="15"/>
      <c r="AG12" s="18"/>
      <c r="AH12" s="4"/>
      <c r="AI12" s="4"/>
      <c r="AJ12" s="3"/>
    </row>
    <row r="13" spans="1:37" s="2" customFormat="1" x14ac:dyDescent="0.25">
      <c r="A13" s="13"/>
      <c r="B13" s="19"/>
      <c r="C13" s="21" t="s">
        <v>18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AG13" s="23"/>
    </row>
    <row r="14" spans="1:37" s="2" customFormat="1" x14ac:dyDescent="0.25">
      <c r="A14" s="13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AG14" s="23"/>
    </row>
    <row r="15" spans="1:37" s="2" customFormat="1" x14ac:dyDescent="0.25">
      <c r="A15" s="13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AG15" s="23"/>
    </row>
    <row r="16" spans="1:37" s="2" customForma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AG16" s="23"/>
    </row>
    <row r="17" spans="1:36" s="2" customFormat="1" x14ac:dyDescent="0.25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AG17" s="23"/>
    </row>
    <row r="18" spans="1:36" s="2" customFormat="1" x14ac:dyDescent="0.25">
      <c r="A18" s="1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AE18" s="3"/>
      <c r="AF18" s="15"/>
      <c r="AG18" s="18"/>
      <c r="AH18" s="3"/>
      <c r="AI18" s="3"/>
      <c r="AJ18" s="3"/>
    </row>
    <row r="19" spans="1:36" s="2" customFormat="1" x14ac:dyDescent="0.25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AE19" s="3"/>
      <c r="AF19" s="15"/>
      <c r="AG19" s="18"/>
      <c r="AH19" s="3"/>
      <c r="AI19" s="3"/>
      <c r="AJ19" s="3"/>
    </row>
    <row r="20" spans="1:36" x14ac:dyDescent="0.25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36" x14ac:dyDescent="0.25">
      <c r="A21" s="1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36" x14ac:dyDescent="0.2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36" x14ac:dyDescent="0.25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36" x14ac:dyDescent="0.25">
      <c r="A24" s="1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36" x14ac:dyDescent="0.25">
      <c r="A25" s="1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36" x14ac:dyDescent="0.25">
      <c r="A26" s="13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36" x14ac:dyDescent="0.25">
      <c r="A27" s="1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36" x14ac:dyDescent="0.25">
      <c r="A28" s="13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36" x14ac:dyDescent="0.25">
      <c r="A29" s="1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36" x14ac:dyDescent="0.25">
      <c r="A30" s="1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36" x14ac:dyDescent="0.25">
      <c r="A31" s="1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36" x14ac:dyDescent="0.25">
      <c r="A32" s="13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x14ac:dyDescent="0.25">
      <c r="A33" s="13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x14ac:dyDescent="0.25">
      <c r="A34" s="13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x14ac:dyDescent="0.25">
      <c r="A35" s="13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5">
      <c r="A36" s="13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5">
      <c r="A37" s="13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25">
      <c r="A38" s="13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x14ac:dyDescent="0.25">
      <c r="A39" s="13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5">
      <c r="A40" s="13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x14ac:dyDescent="0.25">
      <c r="A41" s="13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x14ac:dyDescent="0.25">
      <c r="A42" s="13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x14ac:dyDescent="0.25">
      <c r="A43" s="13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x14ac:dyDescent="0.25">
      <c r="A44" s="13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</sheetData>
  <sheetProtection algorithmName="SHA-512" hashValue="g9NIlf3kBLpHvyQcYUmF5sAl+Xl8RGSomUJDpavgMj99XGjtCI9WzLLVmpTDDMTcNrZOJsBq1FxNvRoP89Tmpw==" saltValue="LGmdFlSHvEeADJLbGyUk1w==" spinCount="100000" sheet="1" objects="1" scenarios="1" selectLockedCells="1"/>
  <mergeCells count="6">
    <mergeCell ref="C3:D3"/>
    <mergeCell ref="E3:F3"/>
    <mergeCell ref="C4:D4"/>
    <mergeCell ref="C5:D5"/>
    <mergeCell ref="G5:I7"/>
    <mergeCell ref="C7:D7"/>
  </mergeCells>
  <dataValidations count="1">
    <dataValidation type="list" allowBlank="1" showInputMessage="1" showErrorMessage="1" sqref="E5" xr:uid="{1119D1CE-1B0A-493C-A0D8-0291C70FBEBF}">
      <formula1>"Monto, Capacidad"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 29.46% MONTOS MAYORES 100K</vt:lpstr>
      <vt:lpstr>CAT 33.18% MONTOS MENORES 100K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2026-02-10T15:19:55Z</dcterms:modified>
</cp:coreProperties>
</file>