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13_ncr:1_{EC98B2E9-2BB2-4747-B6F1-3423C7B09D45}" xr6:coauthVersionLast="47" xr6:coauthVersionMax="47" xr10:uidLastSave="{00000000-0000-0000-0000-000000000000}"/>
  <bookViews>
    <workbookView showHorizontalScroll="0" showVerticalScroll="0" xWindow="-120" yWindow="-120" windowWidth="20760" windowHeight="11040" xr2:uid="{00000000-000D-0000-FFFF-FFFF00000000}"/>
  </bookViews>
  <sheets>
    <sheet name="CAT 36.42% - TASA 2.26%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" i="8" l="1"/>
  <c r="C11" i="8" l="1"/>
  <c r="C6" i="8"/>
  <c r="R5" i="8"/>
  <c r="S5" i="8" s="1"/>
  <c r="T5" i="8" s="1"/>
  <c r="U5" i="8" s="1"/>
  <c r="R4" i="8"/>
  <c r="S4" i="8" s="1"/>
  <c r="T4" i="8" s="1"/>
  <c r="U4" i="8" s="1"/>
  <c r="R3" i="8"/>
  <c r="S3" i="8" s="1"/>
  <c r="T3" i="8" s="1"/>
  <c r="U3" i="8" s="1"/>
  <c r="AX2" i="8"/>
  <c r="AT2" i="8"/>
  <c r="AU2" i="8" s="1"/>
  <c r="AV2" i="8" s="1"/>
  <c r="R2" i="8"/>
  <c r="S2" i="8" s="1"/>
  <c r="T2" i="8" s="1"/>
  <c r="U2" i="8" s="1"/>
  <c r="F11" i="8" l="1"/>
  <c r="I11" i="8" s="1"/>
  <c r="E11" i="8" l="1"/>
  <c r="L11" i="8" s="1"/>
  <c r="G11" i="8"/>
  <c r="J11" i="8" l="1"/>
  <c r="K11" i="8" s="1"/>
  <c r="H1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F10" authorId="0" shapeId="0" xr:uid="{00000000-0006-0000-0000-000001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10" authorId="0" shapeId="0" xr:uid="{00000000-0006-0000-0000-000002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sharedStrings.xml><?xml version="1.0" encoding="utf-8"?>
<sst xmlns="http://schemas.openxmlformats.org/spreadsheetml/2006/main" count="35" uniqueCount="30">
  <si>
    <t xml:space="preserve">Dependencia: </t>
  </si>
  <si>
    <t>Frecuencia:</t>
  </si>
  <si>
    <t>Mensual</t>
  </si>
  <si>
    <t>Plazo</t>
  </si>
  <si>
    <t>Prestamo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</si>
  <si>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</si>
  <si>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</si>
  <si>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</si>
  <si>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</si>
  <si>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</si>
  <si>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</si>
  <si>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</si>
  <si>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PLAZO Q</t>
  </si>
  <si>
    <t>CAPITAL</t>
  </si>
  <si>
    <t>PAGO QUINCENAL</t>
  </si>
  <si>
    <t>TASA MENSUAL</t>
  </si>
  <si>
    <t>TASA QUINCENAL</t>
  </si>
  <si>
    <t>TASA SIN IVA</t>
  </si>
  <si>
    <t>TASA ANUAL</t>
  </si>
  <si>
    <t>*Las tasas globales e insolutas estan en terminos mensuales e incluyen el IVA.</t>
  </si>
  <si>
    <t>MONTO</t>
  </si>
  <si>
    <t>DESCUENTO</t>
  </si>
  <si>
    <t>Tasa C/IVA</t>
  </si>
  <si>
    <t>Tasa S/IVA</t>
  </si>
  <si>
    <t>Decuento</t>
  </si>
  <si>
    <t>CAT IVA</t>
  </si>
  <si>
    <t>CAT  TABLAS</t>
  </si>
  <si>
    <t>CAT PORTAL</t>
  </si>
  <si>
    <t>Condiciones:
Se puede utilizar para simulaciones de creditos nuevos y LQ-3
Único plazo 60 M, monto mínimo 100,000.
Reglas:
1.- Cuando se tenga iniciado un tramite con los terceros Multiva, Bancrea y GFI Apoyo (Retención reactiva)
2.-Compra de deuda.
a) Se deberá validar que la oferta de liquidación sea exclusivamente para los terceros Multiva, Bancrea o GFI Apoyo.</t>
  </si>
  <si>
    <t>IMSS PLEY/CONSUPAGO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</si>
</sst>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5" formatCode="[$-80A]General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5" fontId="2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4" borderId="0" xfId="0" applyFill="1" applyProtection="1"/>
    <xf numFmtId="0" fontId="0" fillId="3" borderId="0" xfId="0" applyFill="1" applyProtection="1"/>
    <xf numFmtId="0" fontId="0" fillId="4" borderId="0" xfId="0" applyFont="1" applyFill="1" applyProtection="1"/>
    <xf numFmtId="0" fontId="0" fillId="2" borderId="0" xfId="0" applyFill="1" applyAlignment="1" applyProtection="1">
      <alignment horizontal="center"/>
    </xf>
    <xf numFmtId="44" fontId="0" fillId="2" borderId="0" xfId="0" applyNumberFormat="1" applyFill="1" applyAlignment="1" applyProtection="1">
      <alignment horizontal="center"/>
    </xf>
    <xf numFmtId="0" fontId="0" fillId="0" borderId="0" xfId="0" applyProtection="1"/>
    <xf numFmtId="0" fontId="1" fillId="5" borderId="0" xfId="0" applyFont="1" applyFill="1" applyAlignment="1" applyProtection="1">
      <alignment horizontal="center"/>
    </xf>
    <xf numFmtId="10" fontId="0" fillId="2" borderId="0" xfId="0" applyNumberFormat="1" applyFill="1" applyAlignment="1" applyProtection="1">
      <alignment horizontal="center"/>
    </xf>
    <xf numFmtId="0" fontId="0" fillId="4" borderId="0" xfId="0" applyFont="1" applyFill="1" applyBorder="1" applyProtection="1"/>
    <xf numFmtId="10" fontId="0" fillId="4" borderId="0" xfId="0" applyNumberFormat="1" applyFill="1" applyProtection="1"/>
    <xf numFmtId="10" fontId="0" fillId="4" borderId="0" xfId="2" applyNumberFormat="1" applyFont="1" applyFill="1" applyProtection="1"/>
    <xf numFmtId="8" fontId="0" fillId="4" borderId="0" xfId="0" applyNumberFormat="1" applyFont="1" applyFill="1" applyProtection="1"/>
    <xf numFmtId="8" fontId="0" fillId="4" borderId="0" xfId="0" applyNumberFormat="1" applyFill="1" applyProtection="1"/>
    <xf numFmtId="0" fontId="4" fillId="4" borderId="0" xfId="0" applyFont="1" applyFill="1" applyAlignment="1" applyProtection="1">
      <alignment horizontal="center"/>
      <protection locked="0"/>
    </xf>
    <xf numFmtId="8" fontId="0" fillId="2" borderId="0" xfId="0" applyNumberFormat="1" applyFill="1" applyAlignment="1" applyProtection="1">
      <alignment horizontal="center"/>
    </xf>
    <xf numFmtId="44" fontId="7" fillId="0" borderId="0" xfId="0" applyNumberFormat="1" applyFont="1" applyAlignment="1" applyProtection="1">
      <alignment horizontal="center"/>
      <protection locked="0"/>
    </xf>
    <xf numFmtId="8" fontId="0" fillId="0" borderId="0" xfId="0" applyNumberFormat="1" applyProtection="1"/>
    <xf numFmtId="4" fontId="0" fillId="0" borderId="0" xfId="0" applyNumberFormat="1"/>
    <xf numFmtId="0" fontId="4" fillId="4" borderId="0" xfId="0" applyFont="1" applyFill="1" applyAlignment="1" applyProtection="1">
      <alignment horizontal="center"/>
    </xf>
    <xf numFmtId="0" fontId="8" fillId="4" borderId="0" xfId="0" applyFont="1" applyFill="1" applyAlignment="1" applyProtection="1">
      <alignment horizontal="center" vertical="center" wrapText="1"/>
      <protection hidden="1"/>
    </xf>
    <xf numFmtId="0" fontId="1" fillId="6" borderId="0" xfId="0" applyFont="1" applyFill="1" applyAlignment="1">
      <alignment horizontal="center"/>
    </xf>
    <xf numFmtId="0" fontId="5" fillId="6" borderId="0" xfId="0" applyFont="1" applyFill="1"/>
    <xf numFmtId="0" fontId="0" fillId="6" borderId="0" xfId="0" applyFill="1"/>
  </cellXfs>
  <cellStyles count="3">
    <cellStyle name="Excel Built-in Normal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9"/>
  <sheetViews>
    <sheetView showGridLines="0" tabSelected="1" topLeftCell="B1" zoomScale="130" zoomScaleNormal="130" workbookViewId="0">
      <selection activeCell="E6" sqref="E6"/>
    </sheetView>
  </sheetViews>
  <sheetFormatPr baseColWidth="10" defaultRowHeight="15" x14ac:dyDescent="0.25"/>
  <cols>
    <col min="1" max="1" width="3.28515625" style="6" hidden="1" customWidth="1"/>
    <col min="2" max="2" width="4.42578125" style="6" customWidth="1"/>
    <col min="3" max="3" width="11.42578125" style="6"/>
    <col min="4" max="4" width="14.42578125" style="6" bestFit="1" customWidth="1"/>
    <col min="5" max="5" width="17.42578125" style="6" bestFit="1" customWidth="1"/>
    <col min="6" max="6" width="13.5703125" style="6" bestFit="1" customWidth="1"/>
    <col min="7" max="7" width="11.140625" style="6" bestFit="1" customWidth="1"/>
    <col min="8" max="8" width="14.42578125" style="6" bestFit="1" customWidth="1"/>
    <col min="9" max="12" width="15.7109375" style="6" customWidth="1"/>
    <col min="13" max="14" width="11.42578125" style="6"/>
    <col min="15" max="20" width="0" style="6" hidden="1" customWidth="1"/>
    <col min="21" max="21" width="13.140625" style="6" hidden="1" customWidth="1"/>
    <col min="22" max="42" width="11.42578125" style="6"/>
    <col min="43" max="43" width="8.5703125" style="6" bestFit="1" customWidth="1"/>
    <col min="44" max="44" width="13.7109375" style="17" bestFit="1" customWidth="1"/>
    <col min="45" max="45" width="11.5703125" style="17" bestFit="1" customWidth="1"/>
    <col min="46" max="46" width="14.5703125" style="6" bestFit="1" customWidth="1"/>
    <col min="47" max="47" width="12.5703125" style="6" bestFit="1" customWidth="1"/>
    <col min="48" max="48" width="12.140625" style="6" bestFit="1" customWidth="1"/>
    <col min="49" max="16384" width="11.42578125" style="6"/>
  </cols>
  <sheetData>
    <row r="1" spans="1:51" s="1" customFormat="1" x14ac:dyDescent="0.25">
      <c r="A1" s="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3"/>
      <c r="O1" s="3" t="s">
        <v>12</v>
      </c>
      <c r="P1" s="1" t="s">
        <v>13</v>
      </c>
      <c r="Q1" s="1" t="s">
        <v>14</v>
      </c>
      <c r="R1" s="1" t="s">
        <v>16</v>
      </c>
      <c r="S1" s="1" t="s">
        <v>15</v>
      </c>
      <c r="T1" s="1" t="s">
        <v>17</v>
      </c>
      <c r="U1" s="1" t="s">
        <v>18</v>
      </c>
      <c r="AQ1" s="3" t="s">
        <v>12</v>
      </c>
      <c r="AR1" s="12" t="s">
        <v>20</v>
      </c>
      <c r="AS1" s="12" t="s">
        <v>21</v>
      </c>
      <c r="AT1" s="1" t="s">
        <v>15</v>
      </c>
      <c r="AU1" s="1" t="s">
        <v>17</v>
      </c>
      <c r="AV1" s="1" t="s">
        <v>18</v>
      </c>
      <c r="AW1" s="1" t="s">
        <v>26</v>
      </c>
      <c r="AX1" s="1" t="s">
        <v>25</v>
      </c>
      <c r="AY1" s="1" t="s">
        <v>27</v>
      </c>
    </row>
    <row r="2" spans="1:51" s="1" customFormat="1" x14ac:dyDescent="0.25">
      <c r="A2" s="2"/>
      <c r="B2" s="23"/>
      <c r="C2" s="21" t="s">
        <v>0</v>
      </c>
      <c r="D2" s="21"/>
      <c r="E2" s="19" t="s">
        <v>29</v>
      </c>
      <c r="F2" s="19"/>
      <c r="G2" s="19"/>
      <c r="H2" s="23"/>
      <c r="I2" s="23"/>
      <c r="J2" s="23"/>
      <c r="K2" s="23"/>
      <c r="L2" s="23"/>
      <c r="M2" s="23"/>
      <c r="N2" s="3"/>
      <c r="O2" s="9">
        <v>24</v>
      </c>
      <c r="P2" s="12">
        <v>497000</v>
      </c>
      <c r="Q2" s="13">
        <v>25850.25</v>
      </c>
      <c r="R2" s="10">
        <f>RATE(O2,-Q2,P2,0,0)</f>
        <v>1.8560002435494275E-2</v>
      </c>
      <c r="S2" s="11">
        <f>R2*2</f>
        <v>3.712000487098855E-2</v>
      </c>
      <c r="T2" s="11">
        <f>S2/1.16</f>
        <v>3.200000419912806E-2</v>
      </c>
      <c r="U2" s="11">
        <f>T2*12</f>
        <v>0.38400005038953672</v>
      </c>
      <c r="AQ2" s="1">
        <v>60</v>
      </c>
      <c r="AR2" s="13">
        <v>1000000</v>
      </c>
      <c r="AS2" s="18">
        <v>33255.39</v>
      </c>
      <c r="AT2" s="10">
        <f>RATE(AQ2,-AS2,AR2,0,0)</f>
        <v>2.6215996577003031E-2</v>
      </c>
      <c r="AU2" s="10">
        <f>AT2/1.16</f>
        <v>2.2599997049140546E-2</v>
      </c>
      <c r="AV2" s="10">
        <f>AU2*12</f>
        <v>0.27119996458968654</v>
      </c>
      <c r="AW2" s="10">
        <v>0.308</v>
      </c>
      <c r="AX2" s="10">
        <f t="shared" ref="AX2" si="0">AW2*1.16</f>
        <v>0.35727999999999999</v>
      </c>
      <c r="AY2" s="10">
        <v>0.36420000000000002</v>
      </c>
    </row>
    <row r="3" spans="1:51" s="1" customFormat="1" ht="15" customHeight="1" x14ac:dyDescent="0.25">
      <c r="A3" s="2"/>
      <c r="B3" s="23"/>
      <c r="C3" s="21" t="s">
        <v>1</v>
      </c>
      <c r="D3" s="21"/>
      <c r="E3" s="21" t="s">
        <v>2</v>
      </c>
      <c r="F3" s="21"/>
      <c r="G3" s="23"/>
      <c r="H3" s="23"/>
      <c r="I3" s="23"/>
      <c r="J3" s="23"/>
      <c r="K3" s="23"/>
      <c r="L3" s="23"/>
      <c r="M3" s="23"/>
      <c r="N3" s="3"/>
      <c r="O3" s="9">
        <v>48</v>
      </c>
      <c r="P3" s="12">
        <v>497000</v>
      </c>
      <c r="Q3" s="12">
        <v>15732</v>
      </c>
      <c r="R3" s="10">
        <f t="shared" ref="R3:R5" si="1">RATE(O3,-Q3,P3,0,0)</f>
        <v>1.8559989355188038E-2</v>
      </c>
      <c r="S3" s="11">
        <f t="shared" ref="S3:S5" si="2">R3*2</f>
        <v>3.7119978710376075E-2</v>
      </c>
      <c r="T3" s="11">
        <f t="shared" ref="T3:T5" si="3">S3/1.16</f>
        <v>3.1999981646875932E-2</v>
      </c>
      <c r="U3" s="11">
        <f t="shared" ref="U3:U5" si="4">T3*12</f>
        <v>0.38399977976251121</v>
      </c>
      <c r="AR3" s="13"/>
      <c r="AS3" s="18"/>
      <c r="AT3" s="10"/>
      <c r="AU3" s="10"/>
      <c r="AV3" s="10"/>
      <c r="AW3" s="10"/>
      <c r="AX3" s="10"/>
    </row>
    <row r="4" spans="1:51" s="1" customFormat="1" ht="15" customHeight="1" x14ac:dyDescent="0.25">
      <c r="A4" s="2"/>
      <c r="B4" s="23"/>
      <c r="C4" s="21" t="s">
        <v>8</v>
      </c>
      <c r="D4" s="21"/>
      <c r="E4" s="14" t="s">
        <v>20</v>
      </c>
      <c r="F4" s="23"/>
      <c r="G4" s="20" t="s">
        <v>28</v>
      </c>
      <c r="H4" s="20"/>
      <c r="I4" s="20"/>
      <c r="J4" s="20"/>
      <c r="K4" s="20"/>
      <c r="L4" s="23"/>
      <c r="M4" s="23"/>
      <c r="N4" s="3"/>
      <c r="O4" s="9">
        <v>72</v>
      </c>
      <c r="P4" s="12">
        <v>497000</v>
      </c>
      <c r="Q4" s="12">
        <v>12568.05</v>
      </c>
      <c r="R4" s="10">
        <f t="shared" si="1"/>
        <v>1.855999177746296E-2</v>
      </c>
      <c r="S4" s="11">
        <f t="shared" si="2"/>
        <v>3.711998355492592E-2</v>
      </c>
      <c r="T4" s="11">
        <f t="shared" si="3"/>
        <v>3.1999985823212E-2</v>
      </c>
      <c r="U4" s="11">
        <f t="shared" si="4"/>
        <v>0.38399982987854397</v>
      </c>
      <c r="AR4" s="13"/>
      <c r="AS4" s="18"/>
      <c r="AT4" s="10"/>
      <c r="AU4" s="10"/>
      <c r="AV4" s="10"/>
      <c r="AW4" s="10"/>
      <c r="AX4" s="10"/>
    </row>
    <row r="5" spans="1:51" s="1" customFormat="1" ht="15" customHeight="1" x14ac:dyDescent="0.25">
      <c r="A5" s="2"/>
      <c r="B5" s="23"/>
      <c r="C5" s="23"/>
      <c r="D5" s="23"/>
      <c r="E5" s="23"/>
      <c r="F5" s="23"/>
      <c r="G5" s="20"/>
      <c r="H5" s="20"/>
      <c r="I5" s="20"/>
      <c r="J5" s="20"/>
      <c r="K5" s="20"/>
      <c r="L5" s="23"/>
      <c r="M5" s="23"/>
      <c r="O5" s="9">
        <v>96</v>
      </c>
      <c r="P5" s="12">
        <v>497000</v>
      </c>
      <c r="Q5" s="12">
        <v>11128.57</v>
      </c>
      <c r="R5" s="10">
        <f t="shared" si="1"/>
        <v>1.8559997634293605E-2</v>
      </c>
      <c r="S5" s="11">
        <f t="shared" si="2"/>
        <v>3.7119995268587211E-2</v>
      </c>
      <c r="T5" s="11">
        <f t="shared" si="3"/>
        <v>3.1999995921195873E-2</v>
      </c>
      <c r="U5" s="11">
        <f t="shared" si="4"/>
        <v>0.38399995105435047</v>
      </c>
      <c r="AR5" s="13"/>
      <c r="AS5" s="18"/>
      <c r="AT5" s="10"/>
      <c r="AU5" s="10"/>
      <c r="AV5" s="10"/>
      <c r="AW5" s="10"/>
      <c r="AX5" s="10"/>
    </row>
    <row r="6" spans="1:51" s="1" customFormat="1" ht="18.75" x14ac:dyDescent="0.3">
      <c r="A6" s="2"/>
      <c r="B6" s="23"/>
      <c r="C6" s="21" t="str">
        <f>IF(E4="MONTO","Ingrese el Monto:","Ingrese la capacidad:")</f>
        <v>Ingrese el Monto:</v>
      </c>
      <c r="D6" s="21"/>
      <c r="E6" s="16">
        <v>225000</v>
      </c>
      <c r="F6" s="23"/>
      <c r="G6" s="20"/>
      <c r="H6" s="20"/>
      <c r="I6" s="20"/>
      <c r="J6" s="20"/>
      <c r="K6" s="20"/>
      <c r="L6" s="23"/>
      <c r="M6" s="23"/>
      <c r="O6" s="3"/>
      <c r="P6" s="3"/>
      <c r="Q6" s="3"/>
      <c r="AR6" s="13"/>
      <c r="AS6" s="13"/>
      <c r="AT6" s="10"/>
      <c r="AU6" s="10"/>
      <c r="AV6" s="10"/>
    </row>
    <row r="7" spans="1:51" s="1" customFormat="1" x14ac:dyDescent="0.25">
      <c r="A7" s="2"/>
      <c r="B7" s="23"/>
      <c r="C7" s="23"/>
      <c r="D7" s="23"/>
      <c r="E7" s="23"/>
      <c r="F7" s="23"/>
      <c r="G7" s="20"/>
      <c r="H7" s="20"/>
      <c r="I7" s="20"/>
      <c r="J7" s="20"/>
      <c r="K7" s="20"/>
      <c r="L7" s="23"/>
      <c r="M7" s="23"/>
    </row>
    <row r="8" spans="1:51" s="1" customFormat="1" x14ac:dyDescent="0.25">
      <c r="A8" s="2"/>
      <c r="B8" s="23"/>
      <c r="C8" s="23"/>
      <c r="D8" s="23"/>
      <c r="E8" s="23"/>
      <c r="F8" s="23"/>
      <c r="G8" s="20"/>
      <c r="H8" s="20"/>
      <c r="I8" s="20"/>
      <c r="J8" s="20"/>
      <c r="K8" s="20"/>
      <c r="L8" s="23"/>
      <c r="M8" s="23"/>
    </row>
    <row r="9" spans="1:51" s="1" customFormat="1" x14ac:dyDescent="0.25">
      <c r="A9" s="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0" spans="1:51" s="1" customFormat="1" x14ac:dyDescent="0.25">
      <c r="A10" s="2"/>
      <c r="B10" s="23"/>
      <c r="C10" s="7" t="s">
        <v>3</v>
      </c>
      <c r="D10" s="7" t="s">
        <v>4</v>
      </c>
      <c r="E10" s="7" t="s">
        <v>24</v>
      </c>
      <c r="F10" s="7" t="s">
        <v>22</v>
      </c>
      <c r="G10" s="7" t="s">
        <v>23</v>
      </c>
      <c r="H10" s="7" t="s">
        <v>9</v>
      </c>
      <c r="I10" s="7" t="s">
        <v>6</v>
      </c>
      <c r="J10" s="7" t="s">
        <v>10</v>
      </c>
      <c r="K10" s="7" t="s">
        <v>11</v>
      </c>
      <c r="L10" s="7" t="s">
        <v>5</v>
      </c>
      <c r="M10" s="23"/>
    </row>
    <row r="11" spans="1:51" s="1" customFormat="1" x14ac:dyDescent="0.25">
      <c r="A11" s="2">
        <v>60</v>
      </c>
      <c r="B11" s="23"/>
      <c r="C11" s="4" t="str">
        <f t="shared" ref="C11" si="5">CONCATENATE(A11," M")</f>
        <v>60 M</v>
      </c>
      <c r="D11" s="5">
        <f>IF(IF($E$4="MONTO",IF((IF(MOD($E$6,500)=0,$E$6,$E$6-MOD($E$6,500)))&gt;1000000,1000000,IF(MOD($E$6,500)=0,$E$6,$E$6-MOD($E$6,500))),IF(((1-(1+(F11))^(-A11))/((F11)))*$E$6&gt;1000000,1000000,IF(MOD(((1-(1+(F11))^(-A11))/(F11))*$E$6,500)=0,((1-(1+(F11))^(-A11))/((F11)))*$E$6,((1-(1+(F11))^(-A11))/((F11)))*$E$6-MOD(((1-(1+(F11))^(-A11))/((F11)))*$E$6,500))))&lt;100000,
0,
IF($E$4="MONTO",IF((IF(MOD($E$6,500)=0,$E$6,$E$6-MOD($E$6,500)))&gt;1000000,1000000,IF(MOD($E$6,500)=0,$E$6,$E$6-MOD($E$6,500))),IF(((1-(1+(F11))^(-A11))/((F11)))*$E$6&gt;1000000,1000000,IF(MOD(((1-(1+(F11))^(-A11))/(F11))*$E$6,500)=0,((1-(1+(F11))^(-A11))/((F11)))*$E$6,((1-(1+(F11))^(-A11))/((F11)))*$E$6-MOD(((1-(1+(F11))^(-A11))/((F11)))*$E$6,500)))))</f>
        <v>225000</v>
      </c>
      <c r="E11" s="15">
        <f>-PMT(F11,A11,D11,,0)</f>
        <v>7482.4627500001097</v>
      </c>
      <c r="F11" s="8">
        <f>VLOOKUP(A11,$AQ$1:$AT$6,4,0)</f>
        <v>2.6215996577003031E-2</v>
      </c>
      <c r="G11" s="8">
        <f t="shared" ref="G11" si="6">F11/1.16</f>
        <v>2.2599997049140546E-2</v>
      </c>
      <c r="H11" s="8">
        <f>IFERROR(((L11-I11)/I11)/(A11),0)</f>
        <v>1.6588723333333822E-2</v>
      </c>
      <c r="I11" s="5">
        <f>D11</f>
        <v>225000</v>
      </c>
      <c r="J11" s="5">
        <f t="shared" ref="J11" si="7">(L11-I11)/1.16</f>
        <v>193058.41810345397</v>
      </c>
      <c r="K11" s="5">
        <f t="shared" ref="K11" si="8">J11*16%</f>
        <v>30889.346896552634</v>
      </c>
      <c r="L11" s="5">
        <f>E11*A11</f>
        <v>448947.76500000659</v>
      </c>
      <c r="M11" s="23"/>
      <c r="AR11" s="13"/>
      <c r="AS11" s="13"/>
    </row>
    <row r="12" spans="1:51" s="1" customFormat="1" x14ac:dyDescent="0.25">
      <c r="A12" s="2"/>
      <c r="B12" s="23"/>
      <c r="C12" s="22" t="s">
        <v>7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AR12" s="13"/>
      <c r="AS12" s="13"/>
    </row>
    <row r="13" spans="1:51" s="1" customFormat="1" x14ac:dyDescent="0.25">
      <c r="A13" s="2"/>
      <c r="B13" s="23"/>
      <c r="C13" s="22" t="s">
        <v>19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AR13" s="13"/>
      <c r="AS13" s="13"/>
    </row>
    <row r="14" spans="1:51" s="1" customFormat="1" x14ac:dyDescent="0.25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AR14" s="13"/>
      <c r="AS14" s="13"/>
    </row>
    <row r="15" spans="1:51" s="1" customFormat="1" x14ac:dyDescent="0.25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AR15" s="13"/>
      <c r="AS15" s="13"/>
    </row>
    <row r="16" spans="1:51" s="1" customFormat="1" x14ac:dyDescent="0.25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AR16" s="13"/>
      <c r="AS16" s="13"/>
    </row>
    <row r="17" spans="2:45" s="1" customFormat="1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AR17" s="13"/>
      <c r="AS17" s="13"/>
    </row>
    <row r="18" spans="2:45" s="1" customFormat="1" x14ac:dyDescent="0.25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AR18" s="13"/>
      <c r="AS18" s="13"/>
    </row>
    <row r="19" spans="2:45" s="1" customFormat="1" x14ac:dyDescent="0.25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AR19" s="13"/>
      <c r="AS19" s="13"/>
    </row>
    <row r="20" spans="2:45" s="1" customFormat="1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AR20" s="13"/>
      <c r="AS20" s="13"/>
    </row>
    <row r="21" spans="2:45" s="1" customFormat="1" x14ac:dyDescent="0.25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AR21" s="13"/>
      <c r="AS21" s="13"/>
    </row>
    <row r="22" spans="2:45" x14ac:dyDescent="0.25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2:45" x14ac:dyDescent="0.2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2:45" x14ac:dyDescent="0.2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2:45" x14ac:dyDescent="0.2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2:45" x14ac:dyDescent="0.25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2:45" x14ac:dyDescent="0.2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2:45" x14ac:dyDescent="0.2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2:45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2:45" x14ac:dyDescent="0.25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2:45" x14ac:dyDescent="0.25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2:45" x14ac:dyDescent="0.25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2:13" x14ac:dyDescent="0.25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2:13" x14ac:dyDescent="0.25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2:13" x14ac:dyDescent="0.25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2:13" x14ac:dyDescent="0.25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2:13" x14ac:dyDescent="0.25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2:13" x14ac:dyDescent="0.25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2:13" x14ac:dyDescent="0.25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</sheetData>
  <sheetProtection algorithmName="SHA-512" hashValue="AR4NePssoNR8zpRLbvgNIKqRWEoGWVtBOth5PPnMxJFmfPdEg2sNFHcAL1/gvYFTZSEhRPdnkkF705LLmBNTIw==" saltValue="wguobs400PEiEefo3tvn8g==" spinCount="100000" sheet="1" objects="1" scenarios="1" selectLockedCells="1"/>
  <mergeCells count="7">
    <mergeCell ref="E3:F3"/>
    <mergeCell ref="C2:D2"/>
    <mergeCell ref="E2:G2"/>
    <mergeCell ref="C3:D3"/>
    <mergeCell ref="C4:D4"/>
    <mergeCell ref="C6:D6"/>
    <mergeCell ref="G4:K8"/>
  </mergeCells>
  <dataValidations count="2">
    <dataValidation type="custom" allowBlank="1" showInputMessage="1" showErrorMessage="1" sqref="E6" xr:uid="{00000000-0002-0000-0000-000000000000}">
      <formula1>E6&gt;=0</formula1>
    </dataValidation>
    <dataValidation type="list" allowBlank="1" showInputMessage="1" showErrorMessage="1" sqref="E4" xr:uid="{00000000-0002-0000-0000-000001000000}">
      <formula1>"MONTO, CAPACIDAD"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 36.42% - TASA 2.26%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dcterms:created xsi:type="dcterms:W3CDTF">2022-04-20T16:01:06Z</dcterms:created>
  <dcterms:modified xsi:type="dcterms:W3CDTF">2026-03-10T00:25:11Z</dcterms:modified>
</cp:coreProperties>
</file>