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13_ncr:1_{ABE6ECEA-2774-45EE-BE24-7FD7D0360B46}" xr6:coauthVersionLast="47" xr6:coauthVersionMax="47" xr10:uidLastSave="{00000000-0000-0000-0000-000000000000}"/>
  <bookViews>
    <workbookView showHorizontalScroll="0" showVerticalScroll="0" xWindow="-120" yWindow="-120" windowWidth="20640" windowHeight="11040" xr2:uid="{00000000-000D-0000-FFFF-FFFF00000000}"/>
  </bookViews>
  <sheets>
    <sheet name="4592-COTIZADOR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" i="6" l="1"/>
  <c r="C10" i="6"/>
  <c r="C9" i="6"/>
  <c r="E11" i="6" l="1"/>
  <c r="E10" i="6"/>
  <c r="E9" i="6"/>
  <c r="J11" i="6" l="1"/>
  <c r="D11" i="6"/>
  <c r="J10" i="6"/>
  <c r="D10" i="6"/>
  <c r="J9" i="6"/>
  <c r="D9" i="6"/>
  <c r="D6" i="6"/>
  <c r="AU5" i="6"/>
  <c r="S5" i="6"/>
  <c r="T5" i="6" s="1"/>
  <c r="U5" i="6" s="1"/>
  <c r="V5" i="6" s="1"/>
  <c r="AU4" i="6"/>
  <c r="AV4" i="6" s="1"/>
  <c r="AW4" i="6" s="1"/>
  <c r="S4" i="6"/>
  <c r="T4" i="6" s="1"/>
  <c r="U4" i="6" s="1"/>
  <c r="V4" i="6" s="1"/>
  <c r="AU3" i="6"/>
  <c r="S3" i="6"/>
  <c r="T3" i="6" s="1"/>
  <c r="U3" i="6" s="1"/>
  <c r="V3" i="6" s="1"/>
  <c r="AU2" i="6"/>
  <c r="S2" i="6"/>
  <c r="T2" i="6" s="1"/>
  <c r="U2" i="6" s="1"/>
  <c r="V2" i="6" s="1"/>
  <c r="AV5" i="6" l="1"/>
  <c r="AW5" i="6" s="1"/>
  <c r="G9" i="6"/>
  <c r="F9" i="6" s="1"/>
  <c r="M9" i="6" s="1"/>
  <c r="AV2" i="6"/>
  <c r="AW2" i="6" s="1"/>
  <c r="G10" i="6"/>
  <c r="H10" i="6" s="1"/>
  <c r="AV3" i="6"/>
  <c r="AW3" i="6" s="1"/>
  <c r="G11" i="6"/>
  <c r="H9" i="6" l="1"/>
  <c r="F10" i="6"/>
  <c r="M10" i="6" s="1"/>
  <c r="I10" i="6" s="1"/>
  <c r="H11" i="6"/>
  <c r="F11" i="6"/>
  <c r="M11" i="6" s="1"/>
  <c r="K9" i="6"/>
  <c r="L9" i="6" s="1"/>
  <c r="I9" i="6"/>
  <c r="K10" i="6" l="1"/>
  <c r="L10" i="6" s="1"/>
  <c r="K11" i="6"/>
  <c r="L11" i="6" s="1"/>
  <c r="I11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8" authorId="0" shapeId="0" xr:uid="{00000000-0006-0000-0000-000001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  <comment ref="H8" authorId="0" shapeId="0" xr:uid="{00000000-0006-0000-0000-000002000000}">
      <text>
        <r>
          <rPr>
            <sz val="9"/>
            <color indexed="81"/>
            <rFont val="Tahoma"/>
            <family val="2"/>
          </rPr>
          <t>Tasa insoluta mensual con IVA.</t>
        </r>
      </text>
    </comment>
  </commentList>
</comments>
</file>

<file path=xl/sharedStrings.xml><?xml version="1.0" encoding="utf-8"?>
<sst xmlns="http://schemas.openxmlformats.org/spreadsheetml/2006/main" count="25" uniqueCount="24">
  <si>
    <t xml:space="preserve">Dependencia: </t>
  </si>
  <si>
    <t>Frecuencia:</t>
  </si>
  <si>
    <t>Mensual</t>
  </si>
  <si>
    <t>Plazo</t>
  </si>
  <si>
    <t>Prestamo</t>
  </si>
  <si>
    <t>Pagare</t>
  </si>
  <si>
    <t>Capital</t>
  </si>
  <si>
    <t>Calculo por:</t>
  </si>
  <si>
    <t>Tasa Global</t>
  </si>
  <si>
    <t>Interes</t>
  </si>
  <si>
    <t>IVA</t>
  </si>
  <si>
    <t>TASA MENSUAL</t>
  </si>
  <si>
    <t>TASA SIN IVA</t>
  </si>
  <si>
    <t>TASA ANUAL</t>
  </si>
  <si>
    <t>MONTO</t>
  </si>
  <si>
    <t>DESCUENTO</t>
  </si>
  <si>
    <t>Tasa C/IVA</t>
  </si>
  <si>
    <t>Tasa S/IVA</t>
  </si>
  <si>
    <t>Decuento</t>
  </si>
  <si>
    <t>PLAZO</t>
  </si>
  <si>
    <t>IMSS PLEY/OPCIPRES</t>
  </si>
  <si>
    <t>Condiciones:
Se puede utilizar para simulaciones de créditos nuevos, renovaciones, LQ-3 y compras intercompañías (CSB, CSP Y MSN).
36 M, monto mínimo 70,000.
48 M, monto mínimo 50,000.
60 M, monto mínimo 30,000.</t>
  </si>
  <si>
    <t>Cat con IVA</t>
  </si>
  <si>
    <t>CAT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</si>
</sst>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&quot;$&quot;* #,##0.0000_-;\-&quot;$&quot;* #,##0.0000_-;_-&quot;$&quot;* &quot;-&quot;??_-;_-@_-"/>
    <numFmt numFmtId="166" formatCode="[$-80A]General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6" fontId="2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0" fillId="4" borderId="0" xfId="0" applyFill="1" applyProtection="1"/>
    <xf numFmtId="0" fontId="0" fillId="3" borderId="0" xfId="0" applyFill="1" applyProtection="1"/>
    <xf numFmtId="44" fontId="0" fillId="4" borderId="0" xfId="0" applyNumberFormat="1" applyFill="1" applyProtection="1"/>
    <xf numFmtId="0" fontId="0" fillId="4" borderId="0" xfId="0" applyFont="1" applyFill="1" applyProtection="1"/>
    <xf numFmtId="0" fontId="0" fillId="2" borderId="0" xfId="0" applyFill="1" applyAlignment="1" applyProtection="1">
      <alignment horizontal="center"/>
    </xf>
    <xf numFmtId="44" fontId="0" fillId="2" borderId="0" xfId="0" applyNumberFormat="1" applyFill="1" applyAlignment="1" applyProtection="1">
      <alignment horizontal="center"/>
    </xf>
    <xf numFmtId="0" fontId="0" fillId="0" borderId="0" xfId="0" applyProtection="1"/>
    <xf numFmtId="10" fontId="0" fillId="2" borderId="0" xfId="0" applyNumberFormat="1" applyFill="1" applyAlignment="1" applyProtection="1">
      <alignment horizontal="center"/>
    </xf>
    <xf numFmtId="0" fontId="0" fillId="4" borderId="0" xfId="0" applyFont="1" applyFill="1" applyBorder="1" applyProtection="1"/>
    <xf numFmtId="10" fontId="0" fillId="4" borderId="0" xfId="0" applyNumberFormat="1" applyFill="1" applyProtection="1"/>
    <xf numFmtId="10" fontId="0" fillId="4" borderId="0" xfId="2" applyNumberFormat="1" applyFont="1" applyFill="1" applyProtection="1"/>
    <xf numFmtId="8" fontId="0" fillId="4" borderId="0" xfId="0" applyNumberFormat="1" applyFont="1" applyFill="1" applyProtection="1"/>
    <xf numFmtId="8" fontId="0" fillId="4" borderId="0" xfId="0" applyNumberFormat="1" applyFill="1" applyProtection="1"/>
    <xf numFmtId="0" fontId="4" fillId="4" borderId="0" xfId="0" applyFont="1" applyFill="1" applyAlignment="1" applyProtection="1">
      <alignment horizontal="center"/>
      <protection locked="0"/>
    </xf>
    <xf numFmtId="44" fontId="6" fillId="0" borderId="0" xfId="0" applyNumberFormat="1" applyFont="1" applyAlignment="1" applyProtection="1">
      <alignment horizontal="center"/>
      <protection locked="0"/>
    </xf>
    <xf numFmtId="8" fontId="0" fillId="0" borderId="0" xfId="0" applyNumberFormat="1" applyProtection="1"/>
    <xf numFmtId="4" fontId="0" fillId="0" borderId="0" xfId="0" applyNumberFormat="1"/>
    <xf numFmtId="44" fontId="0" fillId="4" borderId="0" xfId="0" applyNumberFormat="1" applyFont="1" applyFill="1" applyProtection="1"/>
    <xf numFmtId="44" fontId="0" fillId="0" borderId="0" xfId="0" applyNumberFormat="1" applyProtection="1"/>
    <xf numFmtId="0" fontId="0" fillId="5" borderId="0" xfId="0" applyFill="1" applyProtection="1"/>
    <xf numFmtId="0" fontId="1" fillId="5" borderId="0" xfId="0" applyFont="1" applyFill="1" applyAlignment="1" applyProtection="1">
      <alignment horizontal="center"/>
    </xf>
    <xf numFmtId="2" fontId="0" fillId="5" borderId="0" xfId="0" applyNumberFormat="1" applyFill="1" applyProtection="1"/>
    <xf numFmtId="10" fontId="0" fillId="5" borderId="0" xfId="0" applyNumberFormat="1" applyFill="1" applyProtection="1"/>
    <xf numFmtId="164" fontId="0" fillId="5" borderId="0" xfId="0" applyNumberFormat="1" applyFill="1" applyProtection="1"/>
    <xf numFmtId="165" fontId="0" fillId="5" borderId="0" xfId="0" applyNumberFormat="1" applyFill="1" applyProtection="1"/>
    <xf numFmtId="0" fontId="1" fillId="6" borderId="0" xfId="0" applyFont="1" applyFill="1" applyAlignment="1" applyProtection="1">
      <alignment horizontal="center"/>
    </xf>
    <xf numFmtId="0" fontId="1" fillId="5" borderId="0" xfId="0" applyFont="1" applyFill="1" applyAlignment="1" applyProtection="1">
      <alignment horizontal="center"/>
    </xf>
    <xf numFmtId="0" fontId="4" fillId="4" borderId="0" xfId="0" applyFont="1" applyFill="1" applyAlignment="1" applyProtection="1">
      <alignment horizontal="center"/>
    </xf>
    <xf numFmtId="0" fontId="7" fillId="4" borderId="0" xfId="0" applyFont="1" applyFill="1" applyAlignment="1" applyProtection="1">
      <alignment horizontal="center" vertical="center" wrapText="1"/>
      <protection hidden="1"/>
    </xf>
  </cellXfs>
  <cellStyles count="3">
    <cellStyle name="Excel Built-in Normal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008E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9"/>
  <sheetViews>
    <sheetView showGridLines="0" tabSelected="1" topLeftCell="B1" zoomScale="130" zoomScaleNormal="130" workbookViewId="0">
      <selection activeCell="F4" sqref="F4"/>
    </sheetView>
  </sheetViews>
  <sheetFormatPr baseColWidth="10" defaultRowHeight="15" x14ac:dyDescent="0.25"/>
  <cols>
    <col min="1" max="1" width="3.28515625" style="7" hidden="1" customWidth="1"/>
    <col min="2" max="2" width="4.42578125" style="7" customWidth="1"/>
    <col min="3" max="3" width="11" style="7" bestFit="1" customWidth="1"/>
    <col min="4" max="4" width="11.42578125" style="7"/>
    <col min="5" max="5" width="15" style="7" bestFit="1" customWidth="1"/>
    <col min="6" max="6" width="19.5703125" style="7" bestFit="1" customWidth="1"/>
    <col min="7" max="7" width="13.5703125" style="7" bestFit="1" customWidth="1"/>
    <col min="8" max="8" width="11.140625" style="7" bestFit="1" customWidth="1"/>
    <col min="9" max="9" width="14.42578125" style="7" bestFit="1" customWidth="1"/>
    <col min="10" max="13" width="15.7109375" style="7" customWidth="1"/>
    <col min="14" max="15" width="11.42578125" style="7"/>
    <col min="16" max="21" width="0" style="7" hidden="1" customWidth="1"/>
    <col min="22" max="22" width="13.140625" style="7" hidden="1" customWidth="1"/>
    <col min="23" max="43" width="11.42578125" style="7"/>
    <col min="44" max="44" width="8.5703125" style="7" bestFit="1" customWidth="1"/>
    <col min="45" max="45" width="13.28515625" style="19" bestFit="1" customWidth="1"/>
    <col min="46" max="46" width="11.5703125" style="16" bestFit="1" customWidth="1"/>
    <col min="47" max="47" width="14.5703125" style="7" bestFit="1" customWidth="1"/>
    <col min="48" max="48" width="12.5703125" style="7" bestFit="1" customWidth="1"/>
    <col min="49" max="49" width="12.140625" style="7" bestFit="1" customWidth="1"/>
    <col min="50" max="50" width="11.42578125" style="7" bestFit="1" customWidth="1"/>
    <col min="51" max="51" width="8" style="7" bestFit="1" customWidth="1"/>
    <col min="52" max="16384" width="11.42578125" style="7"/>
  </cols>
  <sheetData>
    <row r="1" spans="1:52" s="1" customFormat="1" x14ac:dyDescent="0.25">
      <c r="A1" s="2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4"/>
      <c r="P1" s="4"/>
      <c r="AR1" s="4" t="s">
        <v>19</v>
      </c>
      <c r="AS1" s="18" t="s">
        <v>14</v>
      </c>
      <c r="AT1" s="12" t="s">
        <v>15</v>
      </c>
      <c r="AU1" s="1" t="s">
        <v>11</v>
      </c>
      <c r="AV1" s="1" t="s">
        <v>12</v>
      </c>
      <c r="AW1" s="1" t="s">
        <v>13</v>
      </c>
      <c r="AZ1" s="1" t="s">
        <v>23</v>
      </c>
    </row>
    <row r="2" spans="1:52" s="1" customFormat="1" x14ac:dyDescent="0.25">
      <c r="A2" s="2"/>
      <c r="B2" s="20"/>
      <c r="C2" s="20"/>
      <c r="D2" s="27" t="s">
        <v>0</v>
      </c>
      <c r="E2" s="27"/>
      <c r="F2" s="28" t="s">
        <v>20</v>
      </c>
      <c r="G2" s="28"/>
      <c r="H2" s="28"/>
      <c r="I2" s="20"/>
      <c r="J2" s="20"/>
      <c r="K2" s="20"/>
      <c r="L2" s="20"/>
      <c r="M2" s="20"/>
      <c r="N2" s="20"/>
      <c r="O2" s="4"/>
      <c r="P2" s="9">
        <v>24</v>
      </c>
      <c r="Q2" s="12">
        <v>497000</v>
      </c>
      <c r="R2" s="13">
        <v>25850.25</v>
      </c>
      <c r="S2" s="10">
        <f>RATE(P2,-R2,Q2,0,0)</f>
        <v>1.8560002435494275E-2</v>
      </c>
      <c r="T2" s="11">
        <f>S2*2</f>
        <v>3.712000487098855E-2</v>
      </c>
      <c r="U2" s="11">
        <f>T2/1.16</f>
        <v>3.200000419912806E-2</v>
      </c>
      <c r="V2" s="11">
        <f>U2*12</f>
        <v>0.38400005038953672</v>
      </c>
      <c r="AR2" s="1">
        <v>36</v>
      </c>
      <c r="AS2" s="3">
        <v>200000</v>
      </c>
      <c r="AT2" s="17">
        <v>9262.18</v>
      </c>
      <c r="AU2" s="10">
        <f t="shared" ref="AU2:AU4" si="0">RATE(AR2,-AT2,AS2,0,0)</f>
        <v>3.0739935312582588E-2</v>
      </c>
      <c r="AV2" s="10">
        <f>AU2/1.16</f>
        <v>2.6499944234984991E-2</v>
      </c>
      <c r="AW2" s="10">
        <f>AV2*12</f>
        <v>0.3179993308198199</v>
      </c>
      <c r="AX2" s="10"/>
      <c r="AY2" s="10"/>
      <c r="AZ2" s="10">
        <v>0.43809999999999999</v>
      </c>
    </row>
    <row r="3" spans="1:52" s="1" customFormat="1" ht="15" customHeight="1" x14ac:dyDescent="0.25">
      <c r="A3" s="2"/>
      <c r="B3" s="20"/>
      <c r="C3" s="20"/>
      <c r="D3" s="27" t="s">
        <v>1</v>
      </c>
      <c r="E3" s="27"/>
      <c r="F3" s="21" t="s">
        <v>2</v>
      </c>
      <c r="G3" s="20"/>
      <c r="H3" s="20"/>
      <c r="I3" s="20"/>
      <c r="J3" s="20"/>
      <c r="K3" s="20"/>
      <c r="L3" s="20"/>
      <c r="M3" s="20"/>
      <c r="N3" s="20"/>
      <c r="O3" s="4"/>
      <c r="P3" s="9">
        <v>48</v>
      </c>
      <c r="Q3" s="12">
        <v>497000</v>
      </c>
      <c r="R3" s="12">
        <v>15732</v>
      </c>
      <c r="S3" s="10">
        <f t="shared" ref="S3:S5" si="1">RATE(P3,-R3,Q3,0,0)</f>
        <v>1.8559989355188038E-2</v>
      </c>
      <c r="T3" s="11">
        <f t="shared" ref="T3:T5" si="2">S3*2</f>
        <v>3.7119978710376075E-2</v>
      </c>
      <c r="U3" s="11">
        <f t="shared" ref="U3:U5" si="3">T3/1.16</f>
        <v>3.1999981646875932E-2</v>
      </c>
      <c r="V3" s="11">
        <f t="shared" ref="V3:V5" si="4">U3*12</f>
        <v>0.38399977976251121</v>
      </c>
      <c r="AR3" s="1">
        <v>48</v>
      </c>
      <c r="AS3" s="3">
        <v>200000</v>
      </c>
      <c r="AT3" s="17">
        <v>7973.04</v>
      </c>
      <c r="AU3" s="10">
        <f t="shared" si="0"/>
        <v>3.0392847551469461E-2</v>
      </c>
      <c r="AV3" s="10">
        <f>AU3/1.16</f>
        <v>2.6200730647818502E-2</v>
      </c>
      <c r="AW3" s="10">
        <f>AV3*12</f>
        <v>0.31440876777382204</v>
      </c>
      <c r="AX3" s="10"/>
      <c r="AY3" s="10"/>
      <c r="AZ3" s="10">
        <v>0.43230000000000002</v>
      </c>
    </row>
    <row r="4" spans="1:52" s="1" customFormat="1" ht="15" customHeight="1" x14ac:dyDescent="0.25">
      <c r="A4" s="2"/>
      <c r="B4" s="20"/>
      <c r="C4" s="20"/>
      <c r="D4" s="27" t="s">
        <v>7</v>
      </c>
      <c r="E4" s="27"/>
      <c r="F4" s="14" t="s">
        <v>14</v>
      </c>
      <c r="G4" s="20"/>
      <c r="H4" s="29" t="s">
        <v>21</v>
      </c>
      <c r="I4" s="29"/>
      <c r="J4" s="29"/>
      <c r="K4" s="29"/>
      <c r="L4" s="20"/>
      <c r="M4" s="20"/>
      <c r="N4" s="20"/>
      <c r="O4" s="4"/>
      <c r="P4" s="9">
        <v>72</v>
      </c>
      <c r="Q4" s="12">
        <v>497000</v>
      </c>
      <c r="R4" s="12">
        <v>12568.05</v>
      </c>
      <c r="S4" s="10">
        <f t="shared" si="1"/>
        <v>1.855999177746296E-2</v>
      </c>
      <c r="T4" s="11">
        <f t="shared" si="2"/>
        <v>3.711998355492592E-2</v>
      </c>
      <c r="U4" s="11">
        <f t="shared" si="3"/>
        <v>3.1999985823212E-2</v>
      </c>
      <c r="V4" s="11">
        <f t="shared" si="4"/>
        <v>0.38399982987854397</v>
      </c>
      <c r="AR4" s="1">
        <v>54</v>
      </c>
      <c r="AS4" s="3">
        <v>200000</v>
      </c>
      <c r="AT4" s="17">
        <v>7531.82</v>
      </c>
      <c r="AU4" s="10">
        <f t="shared" si="0"/>
        <v>3.0044514099917905E-2</v>
      </c>
      <c r="AV4" s="10">
        <f>AU4/1.16</f>
        <v>2.5900443189584402E-2</v>
      </c>
      <c r="AW4" s="10">
        <f>AV4*12</f>
        <v>0.31080531827501284</v>
      </c>
      <c r="AX4" s="10"/>
      <c r="AY4" s="10"/>
      <c r="AZ4" s="10">
        <v>0.42649999999999999</v>
      </c>
    </row>
    <row r="5" spans="1:52" s="1" customFormat="1" ht="15" customHeight="1" x14ac:dyDescent="0.25">
      <c r="A5" s="2"/>
      <c r="B5" s="20"/>
      <c r="C5" s="20"/>
      <c r="D5" s="20"/>
      <c r="E5" s="20"/>
      <c r="F5" s="20"/>
      <c r="G5" s="20"/>
      <c r="H5" s="29"/>
      <c r="I5" s="29"/>
      <c r="J5" s="29"/>
      <c r="K5" s="29"/>
      <c r="L5" s="20"/>
      <c r="M5" s="20"/>
      <c r="N5" s="20"/>
      <c r="P5" s="9">
        <v>96</v>
      </c>
      <c r="Q5" s="12">
        <v>497000</v>
      </c>
      <c r="R5" s="12">
        <v>11128.57</v>
      </c>
      <c r="S5" s="10">
        <f t="shared" si="1"/>
        <v>1.8559997634293605E-2</v>
      </c>
      <c r="T5" s="11">
        <f t="shared" si="2"/>
        <v>3.7119995268587211E-2</v>
      </c>
      <c r="U5" s="11">
        <f t="shared" si="3"/>
        <v>3.1999995921195873E-2</v>
      </c>
      <c r="V5" s="11">
        <f t="shared" si="4"/>
        <v>0.38399995105435047</v>
      </c>
      <c r="AR5" s="1">
        <v>60</v>
      </c>
      <c r="AS5" s="3">
        <v>200000</v>
      </c>
      <c r="AT5" s="17">
        <v>7197.13</v>
      </c>
      <c r="AU5" s="10">
        <f>RATE(AR5,-AT5,AS5,0,0)</f>
        <v>2.9809547012665544E-2</v>
      </c>
      <c r="AV5" s="10">
        <f>AU5/1.16</f>
        <v>2.5697885355746162E-2</v>
      </c>
      <c r="AW5" s="10">
        <f>AV5*12</f>
        <v>0.30837462426895396</v>
      </c>
      <c r="AX5" s="10"/>
      <c r="AY5" s="10"/>
      <c r="AZ5" s="10">
        <v>0.42259999999999998</v>
      </c>
    </row>
    <row r="6" spans="1:52" s="1" customFormat="1" ht="18.75" x14ac:dyDescent="0.3">
      <c r="A6" s="2"/>
      <c r="B6" s="20"/>
      <c r="C6" s="20"/>
      <c r="D6" s="27" t="str">
        <f>IF(F4="MONTO","Ingrese el Monto:","Ingrese la capacidad:")</f>
        <v>Ingrese el Monto:</v>
      </c>
      <c r="E6" s="27"/>
      <c r="F6" s="15">
        <v>200000</v>
      </c>
      <c r="G6" s="20"/>
      <c r="H6" s="29"/>
      <c r="I6" s="29"/>
      <c r="J6" s="29"/>
      <c r="K6" s="29"/>
      <c r="L6" s="25"/>
      <c r="M6" s="20"/>
      <c r="N6" s="20"/>
      <c r="P6" s="4"/>
      <c r="Q6" s="4"/>
      <c r="R6" s="4"/>
      <c r="AS6" s="3"/>
      <c r="AT6" s="13"/>
      <c r="AU6" s="10"/>
      <c r="AV6" s="10"/>
      <c r="AW6" s="10"/>
    </row>
    <row r="7" spans="1:52" s="1" customFormat="1" x14ac:dyDescent="0.25">
      <c r="A7" s="2"/>
      <c r="B7" s="20"/>
      <c r="C7" s="20"/>
      <c r="D7" s="20"/>
      <c r="E7" s="20"/>
      <c r="F7" s="20"/>
      <c r="G7" s="22"/>
      <c r="H7" s="22"/>
      <c r="I7" s="23"/>
      <c r="J7" s="24"/>
      <c r="K7" s="20"/>
      <c r="L7" s="20"/>
      <c r="M7" s="20"/>
      <c r="N7" s="20"/>
      <c r="AS7" s="3"/>
    </row>
    <row r="8" spans="1:52" s="1" customFormat="1" x14ac:dyDescent="0.25">
      <c r="A8" s="2"/>
      <c r="B8" s="20"/>
      <c r="C8" s="26" t="s">
        <v>22</v>
      </c>
      <c r="D8" s="26" t="s">
        <v>3</v>
      </c>
      <c r="E8" s="26" t="s">
        <v>4</v>
      </c>
      <c r="F8" s="26" t="s">
        <v>18</v>
      </c>
      <c r="G8" s="26" t="s">
        <v>16</v>
      </c>
      <c r="H8" s="26" t="s">
        <v>17</v>
      </c>
      <c r="I8" s="26" t="s">
        <v>8</v>
      </c>
      <c r="J8" s="26" t="s">
        <v>6</v>
      </c>
      <c r="K8" s="26" t="s">
        <v>9</v>
      </c>
      <c r="L8" s="26" t="s">
        <v>10</v>
      </c>
      <c r="M8" s="26" t="s">
        <v>5</v>
      </c>
      <c r="N8" s="20"/>
      <c r="AS8" s="3"/>
    </row>
    <row r="9" spans="1:52" s="1" customFormat="1" x14ac:dyDescent="0.25">
      <c r="A9" s="2">
        <v>36</v>
      </c>
      <c r="B9" s="20"/>
      <c r="C9" s="8">
        <f>VLOOKUP(A9,$AR$1:$AZ$5,9,0)</f>
        <v>0.43809999999999999</v>
      </c>
      <c r="D9" s="5" t="str">
        <f>CONCATENATE(A9," M")</f>
        <v>36 M</v>
      </c>
      <c r="E9" s="6">
        <f>IF(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&lt;70000,
0,
IF($F$4="MONTO",IF((IF(MOD($F$6,500)=0,$F$6,$F$6-MOD($F$6,500)))&gt;1000000,1000000,IF(MOD($F$6,500)=0,$F$6,$F$6-MOD($F$6,500))),IF(((1-(1+(G9))^(-A9))/((G9)))*$F$6&gt;1000000,1000000,IF(MOD(((1-(1+(G9))^(-A9))/(G9))*$F$6,500)=0,((1-(1+(G9))^(-A9))/((G9)))*$F$6,((1-(1+(G9))^(-A9))/((G9)))*$F$6-MOD(((1-(1+(G9))^(-A9))/((G9)))*$F$6,500)))))</f>
        <v>200000</v>
      </c>
      <c r="F9" s="6">
        <f>-PMT(G9,A9,E9,,0)</f>
        <v>9262.1800000002349</v>
      </c>
      <c r="G9" s="8">
        <f>VLOOKUP(A9,$AR$1:$AU$6,4,0)</f>
        <v>3.0739935312582588E-2</v>
      </c>
      <c r="H9" s="8">
        <f t="shared" ref="H9:H11" si="5">G9/1.16</f>
        <v>2.6499944234984991E-2</v>
      </c>
      <c r="I9" s="8">
        <f>IFERROR(((M9-J9)/J9)/(A9),0)</f>
        <v>1.8533122222223402E-2</v>
      </c>
      <c r="J9" s="6">
        <f>E9</f>
        <v>200000</v>
      </c>
      <c r="K9" s="6">
        <f t="shared" ref="K9:K11" si="6">(M9-J9)/1.16</f>
        <v>115033.17241380042</v>
      </c>
      <c r="L9" s="6">
        <f t="shared" ref="L9:L11" si="7">K9*16%</f>
        <v>18405.30758620807</v>
      </c>
      <c r="M9" s="6">
        <f>F9*A9</f>
        <v>333438.48000000848</v>
      </c>
      <c r="N9" s="20"/>
      <c r="AS9" s="3"/>
    </row>
    <row r="10" spans="1:52" s="1" customFormat="1" x14ac:dyDescent="0.25">
      <c r="A10" s="2">
        <v>48</v>
      </c>
      <c r="B10" s="20"/>
      <c r="C10" s="8">
        <f t="shared" ref="C10:C11" si="8">VLOOKUP(A10,$AR$1:$AZ$5,9,0)</f>
        <v>0.43230000000000002</v>
      </c>
      <c r="D10" s="5" t="str">
        <f>CONCATENATE(A10," M")</f>
        <v>48 M</v>
      </c>
      <c r="E10" s="6">
        <f>IF(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&lt;50000,
0,
IF($F$4="MONTO",IF((IF(MOD($F$6,500)=0,$F$6,$F$6-MOD($F$6,500)))&gt;1000000,1000000,IF(MOD($F$6,500)=0,$F$6,$F$6-MOD($F$6,500))),IF(((1-(1+(G10))^(-A10))/((G10)))*$F$6&gt;1000000,1000000,IF(MOD(((1-(1+(G10))^(-A10))/(G10))*$F$6,500)=0,((1-(1+(G10))^(-A10))/((G10)))*$F$6,((1-(1+(G10))^(-A10))/((G10)))*$F$6-MOD(((1-(1+(G10))^(-A10))/((G10)))*$F$6,500)))))</f>
        <v>200000</v>
      </c>
      <c r="F10" s="6">
        <f>-PMT(G10,A10,E10,,0)</f>
        <v>7973.0400000000136</v>
      </c>
      <c r="G10" s="8">
        <f>VLOOKUP(A10,$AR$1:$AU$6,4,0)</f>
        <v>3.0392847551469461E-2</v>
      </c>
      <c r="H10" s="8">
        <f t="shared" si="5"/>
        <v>2.6200730647818502E-2</v>
      </c>
      <c r="I10" s="8">
        <f>IFERROR(((M10-J10)/J10)/(A10),0)</f>
        <v>1.9031866666666734E-2</v>
      </c>
      <c r="J10" s="6">
        <f>E10</f>
        <v>200000</v>
      </c>
      <c r="K10" s="6">
        <f t="shared" si="6"/>
        <v>157505.10344827641</v>
      </c>
      <c r="L10" s="6">
        <f t="shared" si="7"/>
        <v>25200.816551724227</v>
      </c>
      <c r="M10" s="6">
        <f>F10*A10</f>
        <v>382705.92000000062</v>
      </c>
      <c r="N10" s="20"/>
      <c r="AS10" s="3"/>
    </row>
    <row r="11" spans="1:52" s="1" customFormat="1" x14ac:dyDescent="0.25">
      <c r="A11" s="2">
        <v>60</v>
      </c>
      <c r="B11" s="20"/>
      <c r="C11" s="8">
        <f t="shared" si="8"/>
        <v>0.42259999999999998</v>
      </c>
      <c r="D11" s="5" t="str">
        <f>CONCATENATE(A11," M")</f>
        <v>60 M</v>
      </c>
      <c r="E11" s="6">
        <f>IF(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&lt;30000,
0,
IF($F$4="MONTO",IF((IF(MOD($F$6,500)=0,$F$6,$F$6-MOD($F$6,500)))&gt;1000000,1000000,IF(MOD($F$6,500)=0,$F$6,$F$6-MOD($F$6,500))),IF(((1-(1+(G11))^(-A11))/((G11)))*$F$6&gt;1000000,1000000,IF(MOD(((1-(1+(G11))^(-A11))/(G11))*$F$6,500)=0,((1-(1+(G11))^(-A11))/((G11)))*$F$6,((1-(1+(G11))^(-A11))/((G11)))*$F$6-MOD(((1-(1+(G11))^(-A11))/((G11)))*$F$6,500)))))</f>
        <v>200000</v>
      </c>
      <c r="F11" s="6">
        <f>-PMT(G11,A11,E11,,0)</f>
        <v>7197.1300000000074</v>
      </c>
      <c r="G11" s="8">
        <f>VLOOKUP(A11,$AR$1:$AU$6,4,0)</f>
        <v>2.9809547012665544E-2</v>
      </c>
      <c r="H11" s="8">
        <f t="shared" si="5"/>
        <v>2.5697885355746162E-2</v>
      </c>
      <c r="I11" s="8">
        <f>IFERROR(((M11-J11)/J11)/(A11),0)</f>
        <v>1.9318983333333373E-2</v>
      </c>
      <c r="J11" s="6">
        <f>E11</f>
        <v>200000</v>
      </c>
      <c r="K11" s="6">
        <f t="shared" si="6"/>
        <v>199851.55172413835</v>
      </c>
      <c r="L11" s="6">
        <f t="shared" si="7"/>
        <v>31976.248275862137</v>
      </c>
      <c r="M11" s="6">
        <f>F11*A11</f>
        <v>431827.80000000045</v>
      </c>
      <c r="N11" s="20"/>
      <c r="AS11" s="3"/>
      <c r="AT11" s="13"/>
    </row>
    <row r="12" spans="1:52" s="1" customFormat="1" x14ac:dyDescent="0.25">
      <c r="A12" s="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AS12" s="3"/>
      <c r="AT12" s="13"/>
    </row>
    <row r="13" spans="1:52" s="1" customFormat="1" x14ac:dyDescent="0.25">
      <c r="A13" s="2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AS13" s="3"/>
      <c r="AT13" s="13"/>
    </row>
    <row r="14" spans="1:52" s="1" customFormat="1" x14ac:dyDescent="0.25"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AS14" s="3"/>
      <c r="AT14" s="13"/>
    </row>
    <row r="15" spans="1:52" s="1" customFormat="1" x14ac:dyDescent="0.25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AS15" s="3"/>
      <c r="AT15" s="13"/>
    </row>
    <row r="16" spans="1:52" s="1" customFormat="1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AS16" s="3"/>
      <c r="AT16" s="13"/>
    </row>
    <row r="17" spans="2:46" s="1" customFormat="1" x14ac:dyDescent="0.25"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AS17" s="3"/>
      <c r="AT17" s="13"/>
    </row>
    <row r="18" spans="2:46" s="1" customFormat="1" x14ac:dyDescent="0.25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AS18" s="3"/>
      <c r="AT18" s="13"/>
    </row>
    <row r="19" spans="2:46" s="1" customFormat="1" x14ac:dyDescent="0.25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AS19" s="3"/>
      <c r="AT19" s="13"/>
    </row>
    <row r="20" spans="2:46" s="1" customFormat="1" x14ac:dyDescent="0.25"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AS20" s="3"/>
      <c r="AT20" s="13"/>
    </row>
    <row r="21" spans="2:46" s="1" customFormat="1" x14ac:dyDescent="0.25"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AS21" s="3"/>
      <c r="AT21" s="13"/>
    </row>
    <row r="22" spans="2:46" x14ac:dyDescent="0.25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2:46" x14ac:dyDescent="0.25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46" x14ac:dyDescent="0.25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46" x14ac:dyDescent="0.25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2:46" x14ac:dyDescent="0.25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2:46" x14ac:dyDescent="0.25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2:46" x14ac:dyDescent="0.25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2:46" x14ac:dyDescent="0.2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2:46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</row>
    <row r="31" spans="2:46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2:46" x14ac:dyDescent="0.2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2:14" x14ac:dyDescent="0.25"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2:14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2:14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2:14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2:14" x14ac:dyDescent="0.25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2:14" x14ac:dyDescent="0.25"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2:14" x14ac:dyDescent="0.2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</sheetData>
  <sheetProtection algorithmName="SHA-512" hashValue="SzU1abok/8uSO0AKfJNJm8DnBYdpNYyX537aDAOrXb5b1BWbFkY4AQ++NQvtNVkkhqcx5D+NDVuTnNCS6267Hw==" saltValue="xvPrKYcGFvu+UVG9XLBpxQ==" spinCount="100000" sheet="1" objects="1" scenarios="1" selectLockedCells="1"/>
  <mergeCells count="6">
    <mergeCell ref="D2:E2"/>
    <mergeCell ref="F2:H2"/>
    <mergeCell ref="D3:E3"/>
    <mergeCell ref="D4:E4"/>
    <mergeCell ref="D6:E6"/>
    <mergeCell ref="H4:K6"/>
  </mergeCells>
  <dataValidations count="2">
    <dataValidation type="custom" allowBlank="1" showInputMessage="1" showErrorMessage="1" sqref="F6" xr:uid="{00000000-0002-0000-0000-000000000000}">
      <formula1>F6&gt;=0</formula1>
    </dataValidation>
    <dataValidation type="list" allowBlank="1" showInputMessage="1" showErrorMessage="1" sqref="F4" xr:uid="{00000000-0002-0000-0000-000001000000}">
      <formula1>"MONTO, CAPACIDAD"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4592-COTIZADOR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dcterms:created xsi:type="dcterms:W3CDTF">2022-04-20T16:01:06Z</dcterms:created>
  <dcterms:modified xsi:type="dcterms:W3CDTF">2026-03-31T16:32:22Z</dcterms:modified>
</cp:coreProperties>
</file>