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nmedicredit\Documents\"/>
    </mc:Choice>
  </mc:AlternateContent>
  <xr:revisionPtr revIDLastSave="0" documentId="13_ncr:1_{847633CF-6576-4121-BA22-0DEEA74329B7}" xr6:coauthVersionLast="47" xr6:coauthVersionMax="47" xr10:uidLastSave="{00000000-0000-0000-0000-000000000000}"/>
  <bookViews>
    <workbookView showHorizontalScroll="0" showVerticalScroll="0" xWindow="-120" yWindow="-120" windowWidth="20640" windowHeight="11040" xr2:uid="{00000000-000D-0000-FFFF-FFFF00000000}"/>
  </bookViews>
  <sheets>
    <sheet name="CORRESPONSAL 4747" sheetId="6" r:id="rId1"/>
    <sheet name="4750-MAX" sheetId="7" r:id="rId2"/>
    <sheet name="4752-VIP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" i="8" l="1"/>
  <c r="I9" i="8" s="1"/>
  <c r="C9" i="8"/>
  <c r="C6" i="8"/>
  <c r="AX2" i="8"/>
  <c r="AS2" i="8"/>
  <c r="AT2" i="8" s="1"/>
  <c r="D9" i="7"/>
  <c r="I9" i="7" s="1"/>
  <c r="C9" i="7"/>
  <c r="C6" i="7"/>
  <c r="AX2" i="7"/>
  <c r="AS2" i="7"/>
  <c r="AT2" i="7" s="1"/>
  <c r="D13" i="6"/>
  <c r="D12" i="6"/>
  <c r="D11" i="6"/>
  <c r="I11" i="6" s="1"/>
  <c r="D10" i="6"/>
  <c r="I10" i="6" s="1"/>
  <c r="AX6" i="6"/>
  <c r="AS6" i="6"/>
  <c r="AT6" i="6" s="1"/>
  <c r="AU6" i="6" s="1"/>
  <c r="AV6" i="6" s="1"/>
  <c r="AX5" i="6"/>
  <c r="AS5" i="6"/>
  <c r="AT5" i="6" s="1"/>
  <c r="AU5" i="6" s="1"/>
  <c r="AV5" i="6" s="1"/>
  <c r="C11" i="6"/>
  <c r="C10" i="6"/>
  <c r="AU2" i="8" l="1"/>
  <c r="F9" i="8"/>
  <c r="E9" i="8" s="1"/>
  <c r="L9" i="8" s="1"/>
  <c r="AU2" i="7"/>
  <c r="F9" i="7"/>
  <c r="E9" i="7" s="1"/>
  <c r="L9" i="7" s="1"/>
  <c r="AX4" i="6"/>
  <c r="AX3" i="6"/>
  <c r="AX2" i="6"/>
  <c r="J9" i="8" l="1"/>
  <c r="K9" i="8" s="1"/>
  <c r="H9" i="8"/>
  <c r="AV2" i="8"/>
  <c r="G9" i="8"/>
  <c r="J9" i="7"/>
  <c r="K9" i="7" s="1"/>
  <c r="H9" i="7"/>
  <c r="G9" i="7"/>
  <c r="AV2" i="7"/>
  <c r="AS4" i="6"/>
  <c r="AT4" i="6" s="1"/>
  <c r="AS3" i="6"/>
  <c r="AT3" i="6" s="1"/>
  <c r="AS2" i="6"/>
  <c r="AT2" i="6" s="1"/>
  <c r="AU2" i="6" s="1"/>
  <c r="AV2" i="6" s="1"/>
  <c r="AU4" i="6" l="1"/>
  <c r="F11" i="6"/>
  <c r="E11" i="6" s="1"/>
  <c r="L11" i="6" s="1"/>
  <c r="AU3" i="6"/>
  <c r="F10" i="6"/>
  <c r="E10" i="6" s="1"/>
  <c r="L10" i="6" s="1"/>
  <c r="D9" i="6"/>
  <c r="AV3" i="6" l="1"/>
  <c r="G10" i="6"/>
  <c r="J11" i="6"/>
  <c r="K11" i="6" s="1"/>
  <c r="H11" i="6"/>
  <c r="AV4" i="6"/>
  <c r="G11" i="6"/>
  <c r="J10" i="6"/>
  <c r="K10" i="6" s="1"/>
  <c r="H10" i="6"/>
  <c r="C13" i="6"/>
  <c r="C12" i="6"/>
  <c r="C9" i="6"/>
  <c r="G13" i="6" l="1"/>
  <c r="F12" i="6"/>
  <c r="I12" i="6" s="1"/>
  <c r="F13" i="6"/>
  <c r="E13" i="6" s="1"/>
  <c r="L13" i="6" s="1"/>
  <c r="G9" i="6"/>
  <c r="F9" i="6"/>
  <c r="E9" i="6" s="1"/>
  <c r="L9" i="6" s="1"/>
  <c r="G12" i="6"/>
  <c r="I13" i="6"/>
  <c r="I9" i="6"/>
  <c r="C6" i="6"/>
  <c r="E12" i="6" l="1"/>
  <c r="L12" i="6" s="1"/>
  <c r="H12" i="6" s="1"/>
  <c r="J9" i="6"/>
  <c r="K9" i="6" s="1"/>
  <c r="H9" i="6"/>
  <c r="J13" i="6"/>
  <c r="K13" i="6" s="1"/>
  <c r="H13" i="6"/>
  <c r="J12" i="6" l="1"/>
  <c r="K12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F8" authorId="0" shapeId="0" xr:uid="{00000000-0006-0000-0000-000001000000}">
      <text>
        <r>
          <rPr>
            <sz val="9"/>
            <color indexed="81"/>
            <rFont val="Tahoma"/>
            <family val="2"/>
          </rPr>
          <t>Tasa insoluta mensual con IVA.</t>
        </r>
      </text>
    </comment>
    <comment ref="G8" authorId="0" shapeId="0" xr:uid="{00000000-0006-0000-0000-000002000000}">
      <text>
        <r>
          <rPr>
            <sz val="9"/>
            <color indexed="81"/>
            <rFont val="Tahoma"/>
            <family val="2"/>
          </rPr>
          <t>Tasa insoluta mensual con IVA.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F8" authorId="0" shapeId="0" xr:uid="{540A9243-2D67-43CA-9106-41A45224184B}">
      <text>
        <r>
          <rPr>
            <sz val="9"/>
            <color indexed="81"/>
            <rFont val="Tahoma"/>
            <family val="2"/>
          </rPr>
          <t>Tasa insoluta mensual con IVA.</t>
        </r>
      </text>
    </comment>
    <comment ref="G8" authorId="0" shapeId="0" xr:uid="{7CEA3208-4A22-4CD6-A117-427F49BDF9D0}">
      <text>
        <r>
          <rPr>
            <sz val="9"/>
            <color indexed="81"/>
            <rFont val="Tahoma"/>
            <family val="2"/>
          </rPr>
          <t>Tasa insoluta mensual con IVA.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F8" authorId="0" shapeId="0" xr:uid="{AFFEA822-4441-4D01-9362-D18A2EF4C889}">
      <text>
        <r>
          <rPr>
            <sz val="9"/>
            <color indexed="81"/>
            <rFont val="Tahoma"/>
            <family val="2"/>
          </rPr>
          <t>Tasa insoluta mensual con IVA.</t>
        </r>
      </text>
    </comment>
    <comment ref="G8" authorId="0" shapeId="0" xr:uid="{490A9F02-F948-4C3E-8461-5620BF3671C3}">
      <text>
        <r>
          <rPr>
            <sz val="9"/>
            <color indexed="81"/>
            <rFont val="Tahoma"/>
            <family val="2"/>
          </rPr>
          <t>Tasa insoluta mensual con IVA.</t>
        </r>
      </text>
    </comment>
  </commentList>
</comments>
</file>

<file path=xl/sharedStrings.xml><?xml version="1.0" encoding="utf-8"?>
<sst xmlns="http://schemas.openxmlformats.org/spreadsheetml/2006/main" count="84" uniqueCount="30">
  <si>
    <t xml:space="preserve">Dependencia: </t>
  </si>
  <si>
    <t>Frecuencia:</t>
  </si>
  <si>
    <t>Mensual</t>
  </si>
  <si>
    <t>Plazo</t>
  </si>
  <si>
    <t>Prestamo</t>
  </si>
  <si>
    <t>Pagare</t>
  </si>
  <si>
    <t>Capital</t>
  </si>
  <si>
    <t>*Calculo para fines informativos</t>
  </si>
  <si>
    <t>Calculo por:</t>
  </si>
  <si>
    <t>Tasa Global</t>
  </si>
  <si>
    <t>Interes</t>
  </si>
  <si>
    <t>IVA</t>
  </si>
  <si>
    <t>PLAZO Q</t>
  </si>
  <si>
    <t>CAPITAL</t>
  </si>
  <si>
    <t>PAGO QUINCENAL</t>
  </si>
  <si>
    <t>TASA MENSUAL</t>
  </si>
  <si>
    <t>TASA QUINCENAL</t>
  </si>
  <si>
    <t>TASA SIN IVA</t>
  </si>
  <si>
    <t>TASA ANUAL</t>
  </si>
  <si>
    <t>Des. Quincenal</t>
  </si>
  <si>
    <t>*Las tasas globales e insolutas estan en terminos mensuales e incluyen el IVA.</t>
  </si>
  <si>
    <t>Tasa C/IVA</t>
  </si>
  <si>
    <t>Tasa S/IVA</t>
  </si>
  <si>
    <t>GEM/CONSUPAGO</t>
  </si>
  <si>
    <t>Monto</t>
  </si>
  <si>
    <t>CAT</t>
  </si>
  <si>
    <t>CAT IVA</t>
  </si>
  <si>
    <r>
      <t xml:space="preserve">Se puede utilizar para simulaciones de </t>
    </r>
    <r>
      <rPr>
        <b/>
        <sz val="6"/>
        <color rgb="FFFF0000"/>
        <rFont val="Calibri"/>
        <family val="2"/>
        <scheme val="minor"/>
      </rPr>
      <t xml:space="preserve">créditos nuevos, LQ-3, CNCA o compra intercompañias.
</t>
    </r>
    <r>
      <rPr>
        <b/>
        <sz val="6"/>
        <color theme="1"/>
        <rFont val="Calibri"/>
        <family val="2"/>
        <scheme val="minor"/>
      </rPr>
      <t xml:space="preserve">48 a 60 quincenas, monto mínimo de 15,000.
72 a 96 quincenas, monto mínimo de 5,000.
</t>
    </r>
  </si>
  <si>
    <r>
      <t xml:space="preserve">Se puede utilizar para simulaciones de </t>
    </r>
    <r>
      <rPr>
        <b/>
        <sz val="8"/>
        <color rgb="FFFF0000"/>
        <rFont val="Calibri"/>
        <family val="2"/>
        <scheme val="minor"/>
      </rPr>
      <t xml:space="preserve">créditos nuevos, LQ-3 o CNCA.
</t>
    </r>
    <r>
      <rPr>
        <b/>
        <sz val="8"/>
        <color theme="1"/>
        <rFont val="Calibri"/>
        <family val="2"/>
        <scheme val="minor"/>
      </rPr>
      <t xml:space="preserve"> Único plazo 96 quincenas, monto mínimo de 80,000.
</t>
    </r>
  </si>
  <si>
    <r>
      <t xml:space="preserve">Se puede utilizar para simulaciones de </t>
    </r>
    <r>
      <rPr>
        <b/>
        <sz val="8"/>
        <color rgb="FFFF0000"/>
        <rFont val="Calibri"/>
        <family val="2"/>
        <scheme val="minor"/>
      </rPr>
      <t xml:space="preserve">créditos nuevos, LQ-3 o CNCA.
</t>
    </r>
    <r>
      <rPr>
        <b/>
        <sz val="8"/>
        <color theme="1"/>
        <rFont val="Calibri"/>
        <family val="2"/>
        <scheme val="minor"/>
      </rPr>
      <t xml:space="preserve"> Único plazo 96 quincenas, monto mínimo de 100,000.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</si>
</sst>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_-&quot;$&quot;* #,##0.0000_-;\-&quot;$&quot;* #,##0.0000_-;_-&quot;$&quot;* &quot;-&quot;??_-;_-@_-"/>
    <numFmt numFmtId="166" formatCode="[$-80A]General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6"/>
      <color theme="1"/>
      <name val="Calibri"/>
      <family val="2"/>
      <scheme val="minor"/>
    </font>
    <font>
      <b/>
      <sz val="6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6" fontId="2" fillId="0" borderId="0"/>
  </cellStyleXfs>
  <cellXfs count="26">
    <xf numFmtId="0" fontId="0" fillId="0" borderId="0" xfId="0"/>
    <xf numFmtId="0" fontId="0" fillId="4" borderId="0" xfId="0" applyFill="1" applyProtection="1"/>
    <xf numFmtId="0" fontId="0" fillId="3" borderId="0" xfId="0" applyFill="1" applyProtection="1"/>
    <xf numFmtId="44" fontId="0" fillId="4" borderId="0" xfId="0" applyNumberFormat="1" applyFill="1" applyProtection="1"/>
    <xf numFmtId="0" fontId="0" fillId="4" borderId="0" xfId="0" applyFont="1" applyFill="1" applyProtection="1"/>
    <xf numFmtId="0" fontId="0" fillId="2" borderId="0" xfId="0" applyFill="1" applyAlignment="1" applyProtection="1">
      <alignment horizontal="center"/>
    </xf>
    <xf numFmtId="44" fontId="0" fillId="2" borderId="0" xfId="0" applyNumberFormat="1" applyFill="1" applyAlignment="1" applyProtection="1">
      <alignment horizontal="center"/>
    </xf>
    <xf numFmtId="0" fontId="0" fillId="0" borderId="0" xfId="0" applyProtection="1"/>
    <xf numFmtId="10" fontId="0" fillId="2" borderId="0" xfId="0" applyNumberFormat="1" applyFill="1" applyAlignment="1" applyProtection="1">
      <alignment horizontal="center"/>
    </xf>
    <xf numFmtId="10" fontId="0" fillId="4" borderId="0" xfId="0" applyNumberFormat="1" applyFill="1" applyProtection="1"/>
    <xf numFmtId="0" fontId="3" fillId="4" borderId="0" xfId="0" applyFont="1" applyFill="1" applyAlignment="1" applyProtection="1">
      <alignment horizontal="center"/>
      <protection locked="0"/>
    </xf>
    <xf numFmtId="44" fontId="3" fillId="0" borderId="0" xfId="0" applyNumberFormat="1" applyFont="1" applyAlignment="1" applyProtection="1">
      <alignment horizontal="center"/>
      <protection locked="0"/>
    </xf>
    <xf numFmtId="44" fontId="0" fillId="0" borderId="0" xfId="0" applyNumberFormat="1" applyProtection="1"/>
    <xf numFmtId="0" fontId="1" fillId="5" borderId="0" xfId="0" applyFont="1" applyFill="1" applyAlignment="1" applyProtection="1">
      <alignment horizontal="center"/>
    </xf>
    <xf numFmtId="0" fontId="0" fillId="5" borderId="0" xfId="0" applyFill="1" applyProtection="1"/>
    <xf numFmtId="2" fontId="0" fillId="5" borderId="0" xfId="0" applyNumberFormat="1" applyFill="1" applyProtection="1"/>
    <xf numFmtId="10" fontId="0" fillId="5" borderId="0" xfId="0" applyNumberFormat="1" applyFill="1" applyProtection="1"/>
    <xf numFmtId="164" fontId="0" fillId="5" borderId="0" xfId="0" applyNumberFormat="1" applyFill="1" applyProtection="1"/>
    <xf numFmtId="165" fontId="0" fillId="5" borderId="0" xfId="0" applyNumberFormat="1" applyFill="1" applyProtection="1"/>
    <xf numFmtId="0" fontId="4" fillId="5" borderId="0" xfId="0" applyFont="1" applyFill="1" applyProtection="1"/>
    <xf numFmtId="0" fontId="1" fillId="6" borderId="0" xfId="0" applyFont="1" applyFill="1" applyAlignment="1" applyProtection="1">
      <alignment horizontal="center"/>
    </xf>
    <xf numFmtId="9" fontId="0" fillId="4" borderId="0" xfId="0" applyNumberFormat="1" applyFill="1" applyProtection="1"/>
    <xf numFmtId="0" fontId="1" fillId="5" borderId="0" xfId="0" applyFont="1" applyFill="1" applyAlignment="1" applyProtection="1">
      <alignment horizontal="center"/>
    </xf>
    <xf numFmtId="0" fontId="3" fillId="4" borderId="0" xfId="0" applyFont="1" applyFill="1" applyAlignment="1" applyProtection="1">
      <alignment horizontal="center"/>
    </xf>
    <xf numFmtId="2" fontId="6" fillId="4" borderId="0" xfId="0" applyNumberFormat="1" applyFont="1" applyFill="1" applyAlignment="1" applyProtection="1">
      <alignment horizontal="center" vertical="center" wrapText="1"/>
    </xf>
    <xf numFmtId="2" fontId="8" fillId="4" borderId="0" xfId="0" applyNumberFormat="1" applyFont="1" applyFill="1" applyAlignment="1" applyProtection="1">
      <alignment horizontal="center" vertical="center" wrapText="1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008E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775138</xdr:colOff>
      <xdr:row>31</xdr:row>
      <xdr:rowOff>94593</xdr:rowOff>
    </xdr:from>
    <xdr:to>
      <xdr:col>12</xdr:col>
      <xdr:colOff>0</xdr:colOff>
      <xdr:row>32</xdr:row>
      <xdr:rowOff>147144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966638" y="5428593"/>
          <a:ext cx="167837" cy="243051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(Capital * Plazo</a:t>
          </a: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* 1.16)</a:t>
          </a:r>
        </a:p>
        <a:p>
          <a:endParaRPr lang="es-MX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775138</xdr:colOff>
      <xdr:row>27</xdr:row>
      <xdr:rowOff>94593</xdr:rowOff>
    </xdr:from>
    <xdr:to>
      <xdr:col>12</xdr:col>
      <xdr:colOff>0</xdr:colOff>
      <xdr:row>28</xdr:row>
      <xdr:rowOff>147144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988FC101-5624-4401-8819-0CBB99C2D4BA}"/>
            </a:ext>
          </a:extLst>
        </xdr:cNvPr>
        <xdr:cNvSpPr/>
      </xdr:nvSpPr>
      <xdr:spPr>
        <a:xfrm>
          <a:off x="8966638" y="6000093"/>
          <a:ext cx="167837" cy="243051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(Capital * Plazo</a:t>
          </a: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* 1.16)</a:t>
          </a:r>
        </a:p>
        <a:p>
          <a:endParaRPr lang="es-MX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775138</xdr:colOff>
      <xdr:row>27</xdr:row>
      <xdr:rowOff>94593</xdr:rowOff>
    </xdr:from>
    <xdr:to>
      <xdr:col>12</xdr:col>
      <xdr:colOff>0</xdr:colOff>
      <xdr:row>28</xdr:row>
      <xdr:rowOff>147144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39568401-1F40-49DB-B061-9D3DE4F8C8FB}"/>
            </a:ext>
          </a:extLst>
        </xdr:cNvPr>
        <xdr:cNvSpPr/>
      </xdr:nvSpPr>
      <xdr:spPr>
        <a:xfrm>
          <a:off x="8966638" y="5238093"/>
          <a:ext cx="167837" cy="243051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(Capital * Plazo</a:t>
          </a: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* 1.16)</a:t>
          </a:r>
        </a:p>
        <a:p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97"/>
  <sheetViews>
    <sheetView showGridLines="0" tabSelected="1" topLeftCell="B1" zoomScale="160" zoomScaleNormal="160" workbookViewId="0">
      <selection activeCell="E6" sqref="E6"/>
    </sheetView>
  </sheetViews>
  <sheetFormatPr baseColWidth="10" defaultRowHeight="15" x14ac:dyDescent="0.25"/>
  <cols>
    <col min="1" max="1" width="3" style="7" hidden="1" customWidth="1"/>
    <col min="2" max="2" width="4.42578125" style="7" customWidth="1"/>
    <col min="3" max="3" width="11.42578125" style="7"/>
    <col min="4" max="4" width="14.42578125" style="7" bestFit="1" customWidth="1"/>
    <col min="5" max="5" width="13.140625" style="7" bestFit="1" customWidth="1"/>
    <col min="6" max="6" width="13.5703125" style="7" bestFit="1" customWidth="1"/>
    <col min="7" max="7" width="11.140625" style="7" bestFit="1" customWidth="1"/>
    <col min="8" max="8" width="14.42578125" style="7" bestFit="1" customWidth="1"/>
    <col min="9" max="9" width="13.28515625" style="7" bestFit="1" customWidth="1"/>
    <col min="10" max="10" width="12.7109375" style="7" customWidth="1"/>
    <col min="11" max="11" width="14.28515625" style="7" bestFit="1" customWidth="1"/>
    <col min="12" max="12" width="14.140625" style="7" bestFit="1" customWidth="1"/>
    <col min="13" max="14" width="11.42578125" style="7"/>
    <col min="15" max="16" width="0" style="7" hidden="1" customWidth="1"/>
    <col min="17" max="17" width="6" style="7" customWidth="1"/>
    <col min="18" max="18" width="6.42578125" style="7" customWidth="1"/>
    <col min="19" max="19" width="5.7109375" style="7" customWidth="1"/>
    <col min="20" max="20" width="4.28515625" style="7" customWidth="1"/>
    <col min="21" max="21" width="3.5703125" style="7" customWidth="1"/>
    <col min="22" max="41" width="11.42578125" style="7"/>
    <col min="42" max="42" width="8.5703125" style="7" bestFit="1" customWidth="1"/>
    <col min="43" max="43" width="14.42578125" style="12" bestFit="1" customWidth="1"/>
    <col min="44" max="44" width="17.140625" style="12" bestFit="1" customWidth="1"/>
    <col min="45" max="45" width="20" style="7" bestFit="1" customWidth="1"/>
    <col min="46" max="46" width="14.5703125" style="7" bestFit="1" customWidth="1"/>
    <col min="47" max="47" width="12.5703125" style="7" bestFit="1" customWidth="1"/>
    <col min="48" max="48" width="12.140625" style="7" bestFit="1" customWidth="1"/>
    <col min="49" max="16384" width="11.42578125" style="7"/>
  </cols>
  <sheetData>
    <row r="1" spans="1:50" s="1" customFormat="1" x14ac:dyDescent="0.25">
      <c r="A1" s="2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P1" s="4" t="s">
        <v>12</v>
      </c>
      <c r="AQ1" s="1" t="s">
        <v>13</v>
      </c>
      <c r="AR1" s="1" t="s">
        <v>14</v>
      </c>
      <c r="AS1" s="1" t="s">
        <v>16</v>
      </c>
      <c r="AT1" s="1" t="s">
        <v>15</v>
      </c>
      <c r="AU1" s="1" t="s">
        <v>17</v>
      </c>
      <c r="AV1" s="1" t="s">
        <v>18</v>
      </c>
      <c r="AW1" s="1" t="s">
        <v>25</v>
      </c>
      <c r="AX1" s="1" t="s">
        <v>26</v>
      </c>
    </row>
    <row r="2" spans="1:50" s="1" customFormat="1" x14ac:dyDescent="0.25">
      <c r="A2" s="2"/>
      <c r="B2" s="14"/>
      <c r="C2" s="22" t="s">
        <v>0</v>
      </c>
      <c r="D2" s="22"/>
      <c r="E2" s="23" t="s">
        <v>23</v>
      </c>
      <c r="F2" s="23"/>
      <c r="G2" s="23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P2" s="1">
        <v>48</v>
      </c>
      <c r="AQ2" s="3">
        <v>1000000</v>
      </c>
      <c r="AR2" s="3">
        <v>30901.19</v>
      </c>
      <c r="AS2" s="9">
        <f t="shared" ref="AS2:AS4" si="0">RATE(AP2,-AR2,AQ2,0,0)</f>
        <v>1.7400003671908963E-2</v>
      </c>
      <c r="AT2" s="9">
        <f>AS2*2</f>
        <v>3.4800007343817926E-2</v>
      </c>
      <c r="AU2" s="9">
        <f>AT2/1.16</f>
        <v>3.0000006330877526E-2</v>
      </c>
      <c r="AV2" s="9">
        <f>AU2*12</f>
        <v>0.3600000759705303</v>
      </c>
      <c r="AW2" s="9">
        <v>0.43</v>
      </c>
      <c r="AX2" s="9">
        <f>AW2*1.16</f>
        <v>0.49879999999999997</v>
      </c>
    </row>
    <row r="3" spans="1:50" s="1" customFormat="1" ht="15" customHeight="1" x14ac:dyDescent="0.25">
      <c r="A3" s="2"/>
      <c r="B3" s="14"/>
      <c r="C3" s="22" t="s">
        <v>1</v>
      </c>
      <c r="D3" s="22"/>
      <c r="E3" s="13" t="s">
        <v>2</v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P3" s="1">
        <v>60</v>
      </c>
      <c r="AQ3" s="3">
        <v>1000000</v>
      </c>
      <c r="AR3" s="3">
        <v>26985.9</v>
      </c>
      <c r="AS3" s="9">
        <f t="shared" si="0"/>
        <v>1.7399999246202207E-2</v>
      </c>
      <c r="AT3" s="9">
        <f>AS3*2</f>
        <v>3.4799998492404415E-2</v>
      </c>
      <c r="AU3" s="9">
        <f>AT3/1.16</f>
        <v>2.9999998700348637E-2</v>
      </c>
      <c r="AV3" s="9">
        <f>AU3*12</f>
        <v>0.35999998440418363</v>
      </c>
      <c r="AW3" s="9">
        <v>0.43</v>
      </c>
      <c r="AX3" s="9">
        <f t="shared" ref="AX3:AX4" si="1">AW3*1.16</f>
        <v>0.49879999999999997</v>
      </c>
    </row>
    <row r="4" spans="1:50" s="1" customFormat="1" ht="15" customHeight="1" x14ac:dyDescent="0.25">
      <c r="A4" s="2"/>
      <c r="B4" s="14"/>
      <c r="C4" s="22" t="s">
        <v>8</v>
      </c>
      <c r="D4" s="22"/>
      <c r="E4" s="10" t="s">
        <v>24</v>
      </c>
      <c r="F4" s="14"/>
      <c r="G4" s="24" t="s">
        <v>27</v>
      </c>
      <c r="H4" s="24"/>
      <c r="I4" s="2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P4" s="1">
        <v>72</v>
      </c>
      <c r="AQ4" s="3">
        <v>1000000</v>
      </c>
      <c r="AR4" s="3">
        <v>24465.65</v>
      </c>
      <c r="AS4" s="9">
        <f t="shared" si="0"/>
        <v>1.7400005187161005E-2</v>
      </c>
      <c r="AT4" s="9">
        <f>AS4*2</f>
        <v>3.480001037432201E-2</v>
      </c>
      <c r="AU4" s="9">
        <f>AT4/1.16</f>
        <v>3.0000008943381045E-2</v>
      </c>
      <c r="AV4" s="9">
        <f>AU4*12</f>
        <v>0.36000010732057253</v>
      </c>
      <c r="AW4" s="9">
        <v>0.43</v>
      </c>
      <c r="AX4" s="9">
        <f t="shared" si="1"/>
        <v>0.49879999999999997</v>
      </c>
    </row>
    <row r="5" spans="1:50" s="1" customFormat="1" x14ac:dyDescent="0.25">
      <c r="A5" s="2"/>
      <c r="B5" s="14"/>
      <c r="C5" s="14"/>
      <c r="D5" s="14"/>
      <c r="E5" s="14"/>
      <c r="F5" s="14"/>
      <c r="G5" s="24"/>
      <c r="H5" s="24"/>
      <c r="I5" s="2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P5" s="1">
        <v>84</v>
      </c>
      <c r="AQ5" s="3">
        <v>1000000</v>
      </c>
      <c r="AR5" s="3">
        <v>22739.09</v>
      </c>
      <c r="AS5" s="9">
        <f t="shared" ref="AS5:AS6" si="2">RATE(AP5,-AR5,AQ5,0,0)</f>
        <v>1.7399994678747706E-2</v>
      </c>
      <c r="AT5" s="9">
        <f t="shared" ref="AT5:AT6" si="3">AS5*2</f>
        <v>3.4799989357495412E-2</v>
      </c>
      <c r="AU5" s="9">
        <f t="shared" ref="AU5:AU6" si="4">AT5/1.16</f>
        <v>2.9999990825427082E-2</v>
      </c>
      <c r="AV5" s="9">
        <f t="shared" ref="AV5:AV6" si="5">AU5*12</f>
        <v>0.35999988990512499</v>
      </c>
      <c r="AW5" s="9">
        <v>0.43</v>
      </c>
      <c r="AX5" s="9">
        <f t="shared" ref="AX5:AX6" si="6">AW5*1.16</f>
        <v>0.49879999999999997</v>
      </c>
    </row>
    <row r="6" spans="1:50" s="1" customFormat="1" x14ac:dyDescent="0.25">
      <c r="A6" s="2"/>
      <c r="B6" s="14"/>
      <c r="C6" s="22" t="str">
        <f>IF(E4="MONTO","Ingrese el Monto:","Ingrese la capacidad:")</f>
        <v>Ingrese el Monto:</v>
      </c>
      <c r="D6" s="22"/>
      <c r="E6" s="11">
        <v>80000</v>
      </c>
      <c r="F6" s="14"/>
      <c r="G6" s="24"/>
      <c r="H6" s="24"/>
      <c r="I6" s="24"/>
      <c r="J6" s="14"/>
      <c r="K6" s="18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P6" s="1">
        <v>96</v>
      </c>
      <c r="AQ6" s="3">
        <v>1000000</v>
      </c>
      <c r="AR6" s="3">
        <v>21505.23</v>
      </c>
      <c r="AS6" s="9">
        <f t="shared" si="2"/>
        <v>1.73999968923087E-2</v>
      </c>
      <c r="AT6" s="9">
        <f t="shared" si="3"/>
        <v>3.47999937846174E-2</v>
      </c>
      <c r="AU6" s="9">
        <f t="shared" si="4"/>
        <v>2.9999994641911554E-2</v>
      </c>
      <c r="AV6" s="9">
        <f t="shared" si="5"/>
        <v>0.35999993570293864</v>
      </c>
      <c r="AW6" s="9">
        <v>0.43</v>
      </c>
      <c r="AX6" s="9">
        <f t="shared" si="6"/>
        <v>0.49879999999999997</v>
      </c>
    </row>
    <row r="7" spans="1:50" s="1" customFormat="1" x14ac:dyDescent="0.25">
      <c r="A7" s="2"/>
      <c r="B7" s="14"/>
      <c r="C7" s="14"/>
      <c r="D7" s="14"/>
      <c r="E7" s="14"/>
      <c r="F7" s="15"/>
      <c r="G7" s="15"/>
      <c r="H7" s="16"/>
      <c r="I7" s="17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Q7" s="3"/>
      <c r="AR7" s="3"/>
      <c r="AS7" s="9"/>
      <c r="AT7" s="9"/>
      <c r="AU7" s="9"/>
      <c r="AV7" s="9"/>
      <c r="AW7" s="9"/>
      <c r="AX7" s="9"/>
    </row>
    <row r="8" spans="1:50" s="1" customFormat="1" x14ac:dyDescent="0.25">
      <c r="A8" s="2"/>
      <c r="B8" s="14"/>
      <c r="C8" s="20" t="s">
        <v>3</v>
      </c>
      <c r="D8" s="20" t="s">
        <v>4</v>
      </c>
      <c r="E8" s="20" t="s">
        <v>19</v>
      </c>
      <c r="F8" s="20" t="s">
        <v>21</v>
      </c>
      <c r="G8" s="20" t="s">
        <v>22</v>
      </c>
      <c r="H8" s="20" t="s">
        <v>9</v>
      </c>
      <c r="I8" s="20" t="s">
        <v>6</v>
      </c>
      <c r="J8" s="20" t="s">
        <v>10</v>
      </c>
      <c r="K8" s="20" t="s">
        <v>11</v>
      </c>
      <c r="L8" s="20" t="s">
        <v>5</v>
      </c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Q8" s="3"/>
      <c r="AR8" s="3"/>
    </row>
    <row r="9" spans="1:50" s="1" customFormat="1" x14ac:dyDescent="0.25">
      <c r="A9" s="2">
        <v>48</v>
      </c>
      <c r="B9" s="14"/>
      <c r="C9" s="5" t="str">
        <f>CONCATENATE(A9," Q")</f>
        <v>48 Q</v>
      </c>
      <c r="D9" s="6">
        <f>IF(IF($E$4="MONTO",IF((IF(MOD($E$6,500)=0,$E$6,$E$6-MOD($E$6,500)))&gt;1000000,1000000,IF(MOD($E$6,500)=0,$E$6,$E$6-MOD($E$6,500))),IF(((1-(1+(F9/2))^(-A9))/((F9/2)))*$E$6&gt;1000000,1000000,IF(MOD(((1-(1+(F9/2))^(-A9))/(F9))*$E$6,500)=0,((1-(1+(F9/2))^(-A9))/((F9/2)))*$E$6,((1-(1+(F9/2))^(-A9))/((F9/2)))*$E$6-MOD(((1-(1+(F9/2))^(-A9))/((F9/2)))*$E$6,500))))&lt;15000,
0,
IF($E$4="MONTO",IF((IF(MOD($E$6,500)=0,$E$6,$E$6-MOD($E$6,500)))&gt;1000000,1000000,IF(MOD($E$6,500)=0,$E$6,$E$6-MOD($E$6,500))),IF(((1-(1+(F9/2))^(-A9))/((F9/2)))*$E$6&gt;1000000,1000000,IF(MOD(((1-(1+(F9/2))^(-A9))/(F9))*$E$6,500)=0,((1-(1+(F9/2))^(-A9))/((F9/2)))*$E$6,((1-(1+(F9/2))^(-A9))/((F9/2)))*$E$6-MOD(((1-(1+(F9/2))^(-A9))/((F9/2)))*$E$6,500)))))</f>
        <v>80000</v>
      </c>
      <c r="E9" s="6">
        <f>ROUND(-PMT(F9/2,A9,D9,,0),2)</f>
        <v>2472.1</v>
      </c>
      <c r="F9" s="8">
        <f>VLOOKUP(A9,$AP$1:$AT$6,5,0)</f>
        <v>3.4800007343817926E-2</v>
      </c>
      <c r="G9" s="8">
        <f>VLOOKUP(A9,$AP$1:$AU$6,6,0)</f>
        <v>3.0000006330877526E-2</v>
      </c>
      <c r="H9" s="8">
        <f>IFERROR(((L9-I9)/I9)/(A9/2),0)</f>
        <v>2.0135833333333329E-2</v>
      </c>
      <c r="I9" s="6">
        <f t="shared" ref="I9:I13" si="7">D9</f>
        <v>80000</v>
      </c>
      <c r="J9" s="6">
        <f t="shared" ref="J9:J13" si="8">(L9-I9)/1.16</f>
        <v>33328.275862068956</v>
      </c>
      <c r="K9" s="6">
        <f t="shared" ref="K9:K13" si="9">J9*16%</f>
        <v>5332.5241379310328</v>
      </c>
      <c r="L9" s="6">
        <f>E9*A9</f>
        <v>118660.79999999999</v>
      </c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Q9" s="3"/>
      <c r="AR9" s="3"/>
    </row>
    <row r="10" spans="1:50" s="1" customFormat="1" x14ac:dyDescent="0.25">
      <c r="A10" s="2">
        <v>60</v>
      </c>
      <c r="B10" s="14"/>
      <c r="C10" s="5" t="str">
        <f>CONCATENATE(A10," Q")</f>
        <v>60 Q</v>
      </c>
      <c r="D10" s="6">
        <f t="shared" ref="D10:D13" si="10">IF(IF($E$4="MONTO",IF((IF(MOD($E$6,500)=0,$E$6,$E$6-MOD($E$6,500)))&gt;1000000,1000000,IF(MOD($E$6,500)=0,$E$6,$E$6-MOD($E$6,500))),IF(((1-(1+(F10/2))^(-A10))/((F10/2)))*$E$6&gt;1000000,1000000,IF(MOD(((1-(1+(F10/2))^(-A10))/(F10))*$E$6,500)=0,((1-(1+(F10/2))^(-A10))/((F10/2)))*$E$6,((1-(1+(F10/2))^(-A10))/((F10/2)))*$E$6-MOD(((1-(1+(F10/2))^(-A10))/((F10/2)))*$E$6,500))))&lt;15000,
0,
IF($E$4="MONTO",IF((IF(MOD($E$6,500)=0,$E$6,$E$6-MOD($E$6,500)))&gt;1000000,1000000,IF(MOD($E$6,500)=0,$E$6,$E$6-MOD($E$6,500))),IF(((1-(1+(F10/2))^(-A10))/((F10/2)))*$E$6&gt;1000000,1000000,IF(MOD(((1-(1+(F10/2))^(-A10))/(F10))*$E$6,500)=0,((1-(1+(F10/2))^(-A10))/((F10/2)))*$E$6,((1-(1+(F10/2))^(-A10))/((F10/2)))*$E$6-MOD(((1-(1+(F10/2))^(-A10))/((F10/2)))*$E$6,500)))))</f>
        <v>80000</v>
      </c>
      <c r="E10" s="6">
        <f>ROUND(-PMT(F10/2,A10,D10,,0),2)</f>
        <v>2158.87</v>
      </c>
      <c r="F10" s="8">
        <f>VLOOKUP(A10,$AP$1:$AT$6,5,0)</f>
        <v>3.4799998492404415E-2</v>
      </c>
      <c r="G10" s="8">
        <f>VLOOKUP(A10,$AP$1:$AU$6,6,0)</f>
        <v>2.9999998700348637E-2</v>
      </c>
      <c r="H10" s="8">
        <f>IFERROR(((L10-I10)/I10)/(A10/2),0)</f>
        <v>2.0638416666666666E-2</v>
      </c>
      <c r="I10" s="6">
        <f t="shared" ref="I10:I11" si="11">D10</f>
        <v>80000</v>
      </c>
      <c r="J10" s="6">
        <f t="shared" ref="J10:J11" si="12">(L10-I10)/1.16</f>
        <v>42700.172413793101</v>
      </c>
      <c r="K10" s="6">
        <f t="shared" ref="K10:K11" si="13">J10*16%</f>
        <v>6832.0275862068966</v>
      </c>
      <c r="L10" s="6">
        <f>E10*A10</f>
        <v>129532.2</v>
      </c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Q10" s="21"/>
      <c r="AR10" s="9"/>
      <c r="AS10" s="9"/>
      <c r="AT10" s="9"/>
      <c r="AW10" s="9"/>
    </row>
    <row r="11" spans="1:50" s="1" customFormat="1" x14ac:dyDescent="0.25">
      <c r="A11" s="2">
        <v>72</v>
      </c>
      <c r="B11" s="14"/>
      <c r="C11" s="5" t="str">
        <f>CONCATENATE(A11," Q")</f>
        <v>72 Q</v>
      </c>
      <c r="D11" s="6">
        <f>IF(IF($E$4="MONTO",IF((IF(MOD($E$6,500)=0,$E$6,$E$6-MOD($E$6,500)))&gt;1000000,1000000,IF(MOD($E$6,500)=0,$E$6,$E$6-MOD($E$6,500))),IF(((1-(1+(F11/2))^(-A11))/((F11/2)))*$E$6&gt;1000000,1000000,IF(MOD(((1-(1+(F11/2))^(-A11))/(F11))*$E$6,500)=0,((1-(1+(F11/2))^(-A11))/((F11/2)))*$E$6,((1-(1+(F11/2))^(-A11))/((F11/2)))*$E$6-MOD(((1-(1+(F11/2))^(-A11))/((F11/2)))*$E$6,500))))&lt;5000,
0,
IF($E$4="MONTO",IF((IF(MOD($E$6,500)=0,$E$6,$E$6-MOD($E$6,500)))&gt;1000000,1000000,IF(MOD($E$6,500)=0,$E$6,$E$6-MOD($E$6,500))),IF(((1-(1+(F11/2))^(-A11))/((F11/2)))*$E$6&gt;1000000,1000000,IF(MOD(((1-(1+(F11/2))^(-A11))/(F11))*$E$6,500)=0,((1-(1+(F11/2))^(-A11))/((F11/2)))*$E$6,((1-(1+(F11/2))^(-A11))/((F11/2)))*$E$6-MOD(((1-(1+(F11/2))^(-A11))/((F11/2)))*$E$6,500)))))</f>
        <v>80000</v>
      </c>
      <c r="E11" s="6">
        <f>ROUND(-PMT(F11/2,A11,D11,,0),2)</f>
        <v>1957.25</v>
      </c>
      <c r="F11" s="8">
        <f>VLOOKUP(A11,$AP$1:$AT$6,5,0)</f>
        <v>3.480001037432201E-2</v>
      </c>
      <c r="G11" s="8">
        <f>VLOOKUP(A11,$AP$1:$AU$6,6,0)</f>
        <v>3.0000008943381045E-2</v>
      </c>
      <c r="H11" s="8">
        <f>IFERROR(((L11-I11)/I11)/(A11/2),0)</f>
        <v>2.1153472222222223E-2</v>
      </c>
      <c r="I11" s="6">
        <f t="shared" si="11"/>
        <v>80000</v>
      </c>
      <c r="J11" s="6">
        <f t="shared" si="12"/>
        <v>52518.965517241384</v>
      </c>
      <c r="K11" s="6">
        <f t="shared" si="13"/>
        <v>8403.0344827586214</v>
      </c>
      <c r="L11" s="6">
        <f>E11*A11</f>
        <v>140922</v>
      </c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Q11" s="9"/>
      <c r="AR11" s="9"/>
      <c r="AS11" s="9"/>
      <c r="AT11" s="9"/>
      <c r="AW11" s="9"/>
    </row>
    <row r="12" spans="1:50" s="1" customFormat="1" x14ac:dyDescent="0.25">
      <c r="A12" s="2">
        <v>84</v>
      </c>
      <c r="B12" s="14"/>
      <c r="C12" s="5" t="str">
        <f>CONCATENATE(A12," Q")</f>
        <v>84 Q</v>
      </c>
      <c r="D12" s="6">
        <f t="shared" ref="D12:D13" si="14">IF(IF($E$4="MONTO",IF((IF(MOD($E$6,500)=0,$E$6,$E$6-MOD($E$6,500)))&gt;1000000,1000000,IF(MOD($E$6,500)=0,$E$6,$E$6-MOD($E$6,500))),IF(((1-(1+(F12/2))^(-A12))/((F12/2)))*$E$6&gt;1000000,1000000,IF(MOD(((1-(1+(F12/2))^(-A12))/(F12))*$E$6,500)=0,((1-(1+(F12/2))^(-A12))/((F12/2)))*$E$6,((1-(1+(F12/2))^(-A12))/((F12/2)))*$E$6-MOD(((1-(1+(F12/2))^(-A12))/((F12/2)))*$E$6,500))))&lt;5000,
0,
IF($E$4="MONTO",IF((IF(MOD($E$6,500)=0,$E$6,$E$6-MOD($E$6,500)))&gt;1000000,1000000,IF(MOD($E$6,500)=0,$E$6,$E$6-MOD($E$6,500))),IF(((1-(1+(F12/2))^(-A12))/((F12/2)))*$E$6&gt;1000000,1000000,IF(MOD(((1-(1+(F12/2))^(-A12))/(F12))*$E$6,500)=0,((1-(1+(F12/2))^(-A12))/((F12/2)))*$E$6,((1-(1+(F12/2))^(-A12))/((F12/2)))*$E$6-MOD(((1-(1+(F12/2))^(-A12))/((F12/2)))*$E$6,500)))))</f>
        <v>80000</v>
      </c>
      <c r="E12" s="6">
        <f>ROUND(-PMT(F12/2,A12,D12,,0),2)</f>
        <v>1819.13</v>
      </c>
      <c r="F12" s="8">
        <f>VLOOKUP(A12,$AP$1:$AT$6,5,0)</f>
        <v>3.4799989357495412E-2</v>
      </c>
      <c r="G12" s="8">
        <f>VLOOKUP(A12,$AP$1:$AU$6,6,0)</f>
        <v>2.9999990825427082E-2</v>
      </c>
      <c r="H12" s="8">
        <f>IFERROR(((L12-I12)/I12)/(A12/2),0)</f>
        <v>2.1668726190476193E-2</v>
      </c>
      <c r="I12" s="6">
        <f t="shared" si="7"/>
        <v>80000</v>
      </c>
      <c r="J12" s="6">
        <f t="shared" si="8"/>
        <v>62764.586206896565</v>
      </c>
      <c r="K12" s="6">
        <f t="shared" si="9"/>
        <v>10042.333793103451</v>
      </c>
      <c r="L12" s="6">
        <f>E12*A12</f>
        <v>152806.92000000001</v>
      </c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Q12" s="21"/>
      <c r="AR12" s="9"/>
      <c r="AS12" s="9"/>
      <c r="AT12" s="9"/>
      <c r="AW12" s="9"/>
    </row>
    <row r="13" spans="1:50" s="1" customFormat="1" x14ac:dyDescent="0.25">
      <c r="A13" s="2">
        <v>96</v>
      </c>
      <c r="B13" s="14"/>
      <c r="C13" s="5" t="str">
        <f>CONCATENATE(A13," Q")</f>
        <v>96 Q</v>
      </c>
      <c r="D13" s="6">
        <f t="shared" si="14"/>
        <v>80000</v>
      </c>
      <c r="E13" s="6">
        <f>ROUND(-PMT(F13/2,A13,D13,,0),2)</f>
        <v>1720.42</v>
      </c>
      <c r="F13" s="8">
        <f>VLOOKUP(A13,$AP$1:$AT$6,5,0)</f>
        <v>3.47999937846174E-2</v>
      </c>
      <c r="G13" s="8">
        <f>VLOOKUP(A13,$AP$1:$AU$6,6,0)</f>
        <v>2.9999994641911554E-2</v>
      </c>
      <c r="H13" s="8">
        <f>IFERROR(((L13-I13)/I13)/(A13/2),0)</f>
        <v>2.2177166666666668E-2</v>
      </c>
      <c r="I13" s="6">
        <f t="shared" si="7"/>
        <v>80000</v>
      </c>
      <c r="J13" s="6">
        <f t="shared" si="8"/>
        <v>73414.068965517246</v>
      </c>
      <c r="K13" s="6">
        <f t="shared" si="9"/>
        <v>11746.251034482759</v>
      </c>
      <c r="L13" s="6">
        <f>E13*A13</f>
        <v>165160.32000000001</v>
      </c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Q13" s="9"/>
      <c r="AR13" s="9"/>
      <c r="AS13" s="9"/>
      <c r="AT13" s="9"/>
      <c r="AW13" s="9"/>
    </row>
    <row r="14" spans="1:50" s="1" customFormat="1" x14ac:dyDescent="0.25">
      <c r="A14" s="2"/>
      <c r="B14" s="14"/>
      <c r="C14" s="19" t="s">
        <v>7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Q14" s="9"/>
      <c r="AR14" s="3"/>
    </row>
    <row r="15" spans="1:50" s="1" customFormat="1" x14ac:dyDescent="0.25">
      <c r="A15" s="2"/>
      <c r="B15" s="14"/>
      <c r="C15" s="19" t="s">
        <v>20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Q15" s="3"/>
      <c r="AR15" s="3"/>
    </row>
    <row r="16" spans="1:50" s="1" customFormat="1" x14ac:dyDescent="0.2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Q16" s="3"/>
      <c r="AR16" s="3"/>
    </row>
    <row r="17" spans="2:44" s="1" customFormat="1" x14ac:dyDescent="0.25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Q17" s="3"/>
      <c r="AR17" s="3"/>
    </row>
    <row r="18" spans="2:44" s="1" customFormat="1" x14ac:dyDescent="0.2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Q18" s="3"/>
      <c r="AR18" s="3"/>
    </row>
    <row r="19" spans="2:44" s="1" customFormat="1" x14ac:dyDescent="0.25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Q19" s="3"/>
      <c r="AR19" s="3"/>
    </row>
    <row r="20" spans="2:44" s="1" customFormat="1" x14ac:dyDescent="0.25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Q20" s="3"/>
      <c r="AR20" s="3"/>
    </row>
    <row r="21" spans="2:44" s="1" customFormat="1" x14ac:dyDescent="0.25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Q21" s="3"/>
      <c r="AR21" s="3"/>
    </row>
    <row r="22" spans="2:44" s="1" customFormat="1" x14ac:dyDescent="0.2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Q22" s="3"/>
      <c r="AR22" s="3"/>
    </row>
    <row r="23" spans="2:44" s="1" customFormat="1" x14ac:dyDescent="0.25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Q23" s="3"/>
      <c r="AR23" s="3"/>
    </row>
    <row r="24" spans="2:44" x14ac:dyDescent="0.25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2:44" x14ac:dyDescent="0.25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2:44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2:44" x14ac:dyDescent="0.25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2:44" x14ac:dyDescent="0.2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  <row r="29" spans="2:44" x14ac:dyDescent="0.25"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  <row r="30" spans="2:44" x14ac:dyDescent="0.25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</row>
    <row r="31" spans="2:44" x14ac:dyDescent="0.25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</row>
    <row r="32" spans="2:44" x14ac:dyDescent="0.25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</row>
    <row r="33" spans="2:27" x14ac:dyDescent="0.25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</row>
    <row r="34" spans="2:27" x14ac:dyDescent="0.2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</row>
    <row r="35" spans="2:27" x14ac:dyDescent="0.25"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</row>
    <row r="36" spans="2:27" x14ac:dyDescent="0.25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</row>
    <row r="37" spans="2:27" x14ac:dyDescent="0.25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</row>
    <row r="38" spans="2:27" x14ac:dyDescent="0.25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</row>
    <row r="39" spans="2:27" x14ac:dyDescent="0.25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0" spans="2:27" x14ac:dyDescent="0.2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 spans="2:27" x14ac:dyDescent="0.25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</row>
    <row r="42" spans="2:27" x14ac:dyDescent="0.25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</row>
    <row r="43" spans="2:27" x14ac:dyDescent="0.25"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</row>
    <row r="44" spans="2:27" x14ac:dyDescent="0.25"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</row>
    <row r="45" spans="2:27" x14ac:dyDescent="0.25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</row>
    <row r="46" spans="2:27" x14ac:dyDescent="0.25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</row>
    <row r="47" spans="2:27" x14ac:dyDescent="0.25"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</row>
    <row r="48" spans="2:27" x14ac:dyDescent="0.25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</row>
    <row r="49" spans="2:27" x14ac:dyDescent="0.25"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</row>
    <row r="50" spans="2:27" x14ac:dyDescent="0.25">
      <c r="B50" s="1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2:27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2:27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2:27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2:27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2:27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2:27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2:27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2:27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2:27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2:27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2:27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2:27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2:27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2:27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2:27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2:27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2:27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2:27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2:27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2:27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2:27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2:27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2:27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2:27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2:27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2:27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2:27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2:27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2:27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2:27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2:27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2:27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2:27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2:27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2:27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2:27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2:27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2:27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2:27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2:27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2:27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2:27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2:27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2:27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2:27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2:27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2:27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</sheetData>
  <sheetProtection algorithmName="SHA-512" hashValue="WVmEd+mWKawzbmMCj6MpdGXfvLxCClRiZODOamlbeRpzbTRtElojn+4YtnYja3SCDO3mTlq4oFkZ54XWDWzE9Q==" saltValue="TYw6IE3FVqg0u3TwcIDbxQ==" spinCount="100000" sheet="1" objects="1" scenarios="1" selectLockedCells="1"/>
  <mergeCells count="6">
    <mergeCell ref="C2:D2"/>
    <mergeCell ref="E2:G2"/>
    <mergeCell ref="C3:D3"/>
    <mergeCell ref="C4:D4"/>
    <mergeCell ref="C6:D6"/>
    <mergeCell ref="G4:I6"/>
  </mergeCells>
  <dataValidations count="2">
    <dataValidation type="custom" allowBlank="1" showInputMessage="1" showErrorMessage="1" sqref="E6" xr:uid="{00000000-0002-0000-0000-000000000000}">
      <formula1>E6&gt;=0</formula1>
    </dataValidation>
    <dataValidation type="list" allowBlank="1" showInputMessage="1" showErrorMessage="1" sqref="E4" xr:uid="{00000000-0002-0000-0000-000001000000}">
      <formula1>"Monto, Capacidad"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7F6B2-0C12-4848-9DF8-DF85E696AA5B}">
  <dimension ref="A1:AX93"/>
  <sheetViews>
    <sheetView showGridLines="0" topLeftCell="B1" zoomScale="160" zoomScaleNormal="160" workbookViewId="0">
      <selection activeCell="E6" sqref="E6"/>
    </sheetView>
  </sheetViews>
  <sheetFormatPr baseColWidth="10" defaultRowHeight="15" x14ac:dyDescent="0.25"/>
  <cols>
    <col min="1" max="1" width="3" style="7" hidden="1" customWidth="1"/>
    <col min="2" max="2" width="4.42578125" style="7" customWidth="1"/>
    <col min="3" max="3" width="11.42578125" style="7"/>
    <col min="4" max="4" width="14.42578125" style="7" bestFit="1" customWidth="1"/>
    <col min="5" max="5" width="13.140625" style="7" bestFit="1" customWidth="1"/>
    <col min="6" max="6" width="13.5703125" style="7" bestFit="1" customWidth="1"/>
    <col min="7" max="7" width="11.140625" style="7" bestFit="1" customWidth="1"/>
    <col min="8" max="8" width="14.42578125" style="7" bestFit="1" customWidth="1"/>
    <col min="9" max="9" width="13.28515625" style="7" bestFit="1" customWidth="1"/>
    <col min="10" max="10" width="12.7109375" style="7" customWidth="1"/>
    <col min="11" max="11" width="14.28515625" style="7" bestFit="1" customWidth="1"/>
    <col min="12" max="12" width="14.140625" style="7" bestFit="1" customWidth="1"/>
    <col min="13" max="14" width="11.42578125" style="7"/>
    <col min="15" max="16" width="0" style="7" hidden="1" customWidth="1"/>
    <col min="17" max="17" width="6" style="7" customWidth="1"/>
    <col min="18" max="18" width="6.42578125" style="7" customWidth="1"/>
    <col min="19" max="19" width="5.7109375" style="7" customWidth="1"/>
    <col min="20" max="20" width="4.28515625" style="7" customWidth="1"/>
    <col min="21" max="21" width="3.5703125" style="7" customWidth="1"/>
    <col min="22" max="41" width="11.42578125" style="7"/>
    <col min="42" max="42" width="8.5703125" style="7" bestFit="1" customWidth="1"/>
    <col min="43" max="43" width="14.42578125" style="12" bestFit="1" customWidth="1"/>
    <col min="44" max="44" width="17.140625" style="12" bestFit="1" customWidth="1"/>
    <col min="45" max="45" width="20" style="7" bestFit="1" customWidth="1"/>
    <col min="46" max="46" width="14.5703125" style="7" bestFit="1" customWidth="1"/>
    <col min="47" max="47" width="12.5703125" style="7" bestFit="1" customWidth="1"/>
    <col min="48" max="48" width="12.140625" style="7" bestFit="1" customWidth="1"/>
    <col min="49" max="16384" width="11.42578125" style="7"/>
  </cols>
  <sheetData>
    <row r="1" spans="1:50" s="1" customFormat="1" x14ac:dyDescent="0.25">
      <c r="A1" s="2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P1" s="4" t="s">
        <v>12</v>
      </c>
      <c r="AQ1" s="1" t="s">
        <v>13</v>
      </c>
      <c r="AR1" s="1" t="s">
        <v>14</v>
      </c>
      <c r="AS1" s="1" t="s">
        <v>16</v>
      </c>
      <c r="AT1" s="1" t="s">
        <v>15</v>
      </c>
      <c r="AU1" s="1" t="s">
        <v>17</v>
      </c>
      <c r="AV1" s="1" t="s">
        <v>18</v>
      </c>
      <c r="AW1" s="1" t="s">
        <v>25</v>
      </c>
      <c r="AX1" s="1" t="s">
        <v>26</v>
      </c>
    </row>
    <row r="2" spans="1:50" s="1" customFormat="1" x14ac:dyDescent="0.25">
      <c r="A2" s="2"/>
      <c r="B2" s="14"/>
      <c r="C2" s="22" t="s">
        <v>0</v>
      </c>
      <c r="D2" s="22"/>
      <c r="E2" s="23" t="s">
        <v>23</v>
      </c>
      <c r="F2" s="23"/>
      <c r="G2" s="23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P2" s="1">
        <v>96</v>
      </c>
      <c r="AQ2" s="3">
        <v>1000000</v>
      </c>
      <c r="AR2" s="3">
        <v>20894.37</v>
      </c>
      <c r="AS2" s="9">
        <f t="shared" ref="AS2:AS6" si="0">RATE(AP2,-AR2,AQ2,0,0)</f>
        <v>1.6588000583298738E-2</v>
      </c>
      <c r="AT2" s="9">
        <f>AS2*2</f>
        <v>3.3176001166597476E-2</v>
      </c>
      <c r="AU2" s="9">
        <f>AT2/1.16</f>
        <v>2.8600001005687482E-2</v>
      </c>
      <c r="AV2" s="9">
        <f>AU2*12</f>
        <v>0.34320001206824979</v>
      </c>
      <c r="AW2" s="9">
        <v>0.40600000000000003</v>
      </c>
      <c r="AX2" s="9">
        <f>AW2*1.16</f>
        <v>0.47095999999999999</v>
      </c>
    </row>
    <row r="3" spans="1:50" s="1" customFormat="1" ht="15" customHeight="1" x14ac:dyDescent="0.25">
      <c r="A3" s="2"/>
      <c r="B3" s="14"/>
      <c r="C3" s="22" t="s">
        <v>1</v>
      </c>
      <c r="D3" s="22"/>
      <c r="E3" s="13" t="s">
        <v>2</v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Q3" s="3"/>
      <c r="AR3" s="3"/>
      <c r="AS3" s="9"/>
      <c r="AT3" s="9"/>
      <c r="AU3" s="9"/>
      <c r="AV3" s="9"/>
      <c r="AW3" s="9"/>
      <c r="AX3" s="9"/>
    </row>
    <row r="4" spans="1:50" s="1" customFormat="1" ht="15" customHeight="1" x14ac:dyDescent="0.25">
      <c r="A4" s="2"/>
      <c r="B4" s="14"/>
      <c r="C4" s="22" t="s">
        <v>8</v>
      </c>
      <c r="D4" s="22"/>
      <c r="E4" s="10" t="s">
        <v>24</v>
      </c>
      <c r="F4" s="14"/>
      <c r="G4" s="25" t="s">
        <v>28</v>
      </c>
      <c r="H4" s="25"/>
      <c r="I4" s="25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Q4" s="3"/>
      <c r="AR4" s="3"/>
      <c r="AS4" s="9"/>
      <c r="AT4" s="9"/>
      <c r="AU4" s="9"/>
      <c r="AV4" s="9"/>
      <c r="AW4" s="9"/>
      <c r="AX4" s="9"/>
    </row>
    <row r="5" spans="1:50" s="1" customFormat="1" x14ac:dyDescent="0.25">
      <c r="A5" s="2"/>
      <c r="B5" s="14"/>
      <c r="C5" s="14"/>
      <c r="D5" s="14"/>
      <c r="E5" s="14"/>
      <c r="F5" s="14"/>
      <c r="G5" s="25"/>
      <c r="H5" s="25"/>
      <c r="I5" s="25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Q5" s="3"/>
      <c r="AR5" s="3"/>
      <c r="AS5" s="9"/>
      <c r="AT5" s="9"/>
      <c r="AU5" s="9"/>
      <c r="AV5" s="9"/>
      <c r="AW5" s="9"/>
      <c r="AX5" s="9"/>
    </row>
    <row r="6" spans="1:50" s="1" customFormat="1" x14ac:dyDescent="0.25">
      <c r="A6" s="2"/>
      <c r="B6" s="14"/>
      <c r="C6" s="22" t="str">
        <f>IF(E4="MONTO","Ingrese el Monto:","Ingrese la capacidad:")</f>
        <v>Ingrese el Monto:</v>
      </c>
      <c r="D6" s="22"/>
      <c r="E6" s="11">
        <v>100000</v>
      </c>
      <c r="F6" s="14"/>
      <c r="G6" s="25"/>
      <c r="H6" s="25"/>
      <c r="I6" s="25"/>
      <c r="J6" s="14"/>
      <c r="K6" s="18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Q6" s="3"/>
      <c r="AR6" s="3"/>
      <c r="AS6" s="9"/>
      <c r="AT6" s="9"/>
      <c r="AU6" s="9"/>
      <c r="AV6" s="9"/>
      <c r="AW6" s="9"/>
      <c r="AX6" s="9"/>
    </row>
    <row r="7" spans="1:50" s="1" customFormat="1" x14ac:dyDescent="0.25">
      <c r="A7" s="2"/>
      <c r="B7" s="14"/>
      <c r="C7" s="14"/>
      <c r="D7" s="14"/>
      <c r="E7" s="14"/>
      <c r="F7" s="15"/>
      <c r="G7" s="15"/>
      <c r="H7" s="16"/>
      <c r="I7" s="17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Q7" s="3"/>
      <c r="AR7" s="3"/>
      <c r="AS7" s="9"/>
      <c r="AT7" s="9"/>
      <c r="AU7" s="9"/>
      <c r="AV7" s="9"/>
      <c r="AW7" s="9"/>
      <c r="AX7" s="9"/>
    </row>
    <row r="8" spans="1:50" s="1" customFormat="1" x14ac:dyDescent="0.25">
      <c r="A8" s="2"/>
      <c r="B8" s="14"/>
      <c r="C8" s="20" t="s">
        <v>3</v>
      </c>
      <c r="D8" s="20" t="s">
        <v>4</v>
      </c>
      <c r="E8" s="20" t="s">
        <v>19</v>
      </c>
      <c r="F8" s="20" t="s">
        <v>21</v>
      </c>
      <c r="G8" s="20" t="s">
        <v>22</v>
      </c>
      <c r="H8" s="20" t="s">
        <v>9</v>
      </c>
      <c r="I8" s="20" t="s">
        <v>6</v>
      </c>
      <c r="J8" s="20" t="s">
        <v>10</v>
      </c>
      <c r="K8" s="20" t="s">
        <v>11</v>
      </c>
      <c r="L8" s="20" t="s">
        <v>5</v>
      </c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Q8" s="3"/>
      <c r="AR8" s="3"/>
    </row>
    <row r="9" spans="1:50" s="1" customFormat="1" x14ac:dyDescent="0.25">
      <c r="A9" s="2">
        <v>96</v>
      </c>
      <c r="B9" s="14"/>
      <c r="C9" s="5" t="str">
        <f>CONCATENATE(A9," Q")</f>
        <v>96 Q</v>
      </c>
      <c r="D9" s="6">
        <f>IF(IF($E$4="MONTO",IF((IF(MOD($E$6,500)=0,$E$6,$E$6-MOD($E$6,500)))&gt;1000000,1000000,IF(MOD($E$6,500)=0,$E$6,$E$6-MOD($E$6,500))),IF(((1-(1+(F9/2))^(-A9))/((F9/2)))*$E$6&gt;1000000,1000000,IF(MOD(((1-(1+(F9/2))^(-A9))/(F9))*$E$6,500)=0,((1-(1+(F9/2))^(-A9))/((F9/2)))*$E$6,((1-(1+(F9/2))^(-A9))/((F9/2)))*$E$6-MOD(((1-(1+(F9/2))^(-A9))/((F9/2)))*$E$6,500))))&lt;80000,
0,
IF($E$4="MONTO",IF((IF(MOD($E$6,500)=0,$E$6,$E$6-MOD($E$6,500)))&gt;1000000,1000000,IF(MOD($E$6,500)=0,$E$6,$E$6-MOD($E$6,500))),IF(((1-(1+(F9/2))^(-A9))/((F9/2)))*$E$6&gt;1000000,1000000,IF(MOD(((1-(1+(F9/2))^(-A9))/(F9))*$E$6,500)=0,((1-(1+(F9/2))^(-A9))/((F9/2)))*$E$6,((1-(1+(F9/2))^(-A9))/((F9/2)))*$E$6-MOD(((1-(1+(F9/2))^(-A9))/((F9/2)))*$E$6,500)))))</f>
        <v>100000</v>
      </c>
      <c r="E9" s="6">
        <f>ROUND(-PMT(F9/2,A9,D9,,0),2)</f>
        <v>2089.44</v>
      </c>
      <c r="F9" s="8">
        <f>VLOOKUP(A9,$AP$1:$AT$6,5,0)</f>
        <v>3.3176001166597476E-2</v>
      </c>
      <c r="G9" s="8">
        <f>VLOOKUP(A9,$AP$1:$AU$6,6,0)</f>
        <v>2.8600001005687482E-2</v>
      </c>
      <c r="H9" s="8">
        <f>IFERROR(((L9-I9)/I9)/(A9/2),0)</f>
        <v>2.0955466666666662E-2</v>
      </c>
      <c r="I9" s="6">
        <f t="shared" ref="I9" si="1">D9</f>
        <v>100000</v>
      </c>
      <c r="J9" s="6">
        <f t="shared" ref="J9" si="2">(L9-I9)/1.16</f>
        <v>86712.275862068956</v>
      </c>
      <c r="K9" s="6">
        <f t="shared" ref="K9" si="3">J9*16%</f>
        <v>13873.964137931034</v>
      </c>
      <c r="L9" s="6">
        <f>E9*A9</f>
        <v>200586.23999999999</v>
      </c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Q9" s="9"/>
      <c r="AR9" s="9"/>
      <c r="AS9" s="9"/>
      <c r="AT9" s="9"/>
      <c r="AW9" s="9"/>
    </row>
    <row r="10" spans="1:50" s="1" customFormat="1" x14ac:dyDescent="0.25">
      <c r="A10" s="2"/>
      <c r="B10" s="14"/>
      <c r="C10" s="19" t="s">
        <v>7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Q10" s="9"/>
      <c r="AR10" s="3"/>
    </row>
    <row r="11" spans="1:50" s="1" customFormat="1" x14ac:dyDescent="0.25">
      <c r="A11" s="2"/>
      <c r="B11" s="14"/>
      <c r="C11" s="19" t="s">
        <v>20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Q11" s="3"/>
      <c r="AR11" s="3"/>
    </row>
    <row r="12" spans="1:50" s="1" customFormat="1" x14ac:dyDescent="0.25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Q12" s="3"/>
      <c r="AR12" s="3"/>
    </row>
    <row r="13" spans="1:50" s="1" customFormat="1" x14ac:dyDescent="0.25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Q13" s="3"/>
      <c r="AR13" s="3"/>
    </row>
    <row r="14" spans="1:50" s="1" customFormat="1" x14ac:dyDescent="0.25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Q14" s="3"/>
      <c r="AR14" s="3"/>
    </row>
    <row r="15" spans="1:50" s="1" customFormat="1" x14ac:dyDescent="0.25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Q15" s="3"/>
      <c r="AR15" s="3"/>
    </row>
    <row r="16" spans="1:50" s="1" customFormat="1" x14ac:dyDescent="0.2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Q16" s="3"/>
      <c r="AR16" s="3"/>
    </row>
    <row r="17" spans="2:44" s="1" customFormat="1" x14ac:dyDescent="0.25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Q17" s="3"/>
      <c r="AR17" s="3"/>
    </row>
    <row r="18" spans="2:44" s="1" customFormat="1" x14ac:dyDescent="0.2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Q18" s="3"/>
      <c r="AR18" s="3"/>
    </row>
    <row r="19" spans="2:44" s="1" customFormat="1" x14ac:dyDescent="0.25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Q19" s="3"/>
      <c r="AR19" s="3"/>
    </row>
    <row r="20" spans="2:44" x14ac:dyDescent="0.25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2:44" x14ac:dyDescent="0.25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</row>
    <row r="22" spans="2:44" x14ac:dyDescent="0.2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</row>
    <row r="23" spans="2:44" x14ac:dyDescent="0.25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</row>
    <row r="24" spans="2:44" x14ac:dyDescent="0.25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2:44" x14ac:dyDescent="0.25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2:44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2:44" x14ac:dyDescent="0.25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2:44" x14ac:dyDescent="0.2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  <row r="29" spans="2:44" x14ac:dyDescent="0.25"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  <row r="30" spans="2:44" x14ac:dyDescent="0.25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</row>
    <row r="31" spans="2:44" x14ac:dyDescent="0.25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</row>
    <row r="32" spans="2:44" x14ac:dyDescent="0.25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</row>
    <row r="33" spans="2:27" x14ac:dyDescent="0.25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</row>
    <row r="34" spans="2:27" x14ac:dyDescent="0.2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</row>
    <row r="35" spans="2:27" x14ac:dyDescent="0.25"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</row>
    <row r="36" spans="2:27" x14ac:dyDescent="0.25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</row>
    <row r="37" spans="2:27" x14ac:dyDescent="0.25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</row>
    <row r="38" spans="2:27" x14ac:dyDescent="0.25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</row>
    <row r="39" spans="2:27" x14ac:dyDescent="0.25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0" spans="2:27" x14ac:dyDescent="0.2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 spans="2:27" x14ac:dyDescent="0.25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</row>
    <row r="42" spans="2:27" x14ac:dyDescent="0.25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</row>
    <row r="43" spans="2:27" x14ac:dyDescent="0.25"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</row>
    <row r="44" spans="2:27" x14ac:dyDescent="0.25"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</row>
    <row r="45" spans="2:27" x14ac:dyDescent="0.25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</row>
    <row r="46" spans="2:27" x14ac:dyDescent="0.25">
      <c r="B46" s="1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2:27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7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2:27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2:27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2:27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2:27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2:27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2:27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2:27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2:27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2:27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2:27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2:27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2:27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2:27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2:27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2:27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2:27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2:27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2:27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2:27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2:27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2:27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2:27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2:27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2:27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2:27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2:27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2:27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2:27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2:27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2:27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2:27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2:27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2:27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2:27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2:27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2:27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2:27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2:27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2:27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2:27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2:27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2:27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2:27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2:27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2:27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</sheetData>
  <sheetProtection algorithmName="SHA-512" hashValue="FicGXdyqj9FKC+lF1M9x0y9KtIScEAj/iE5m2sdfBCAwDCWECzlqzcnqN5fWruWsaINameUlDHfqA9NqsNxufA==" saltValue="kmSjhh+4XIWkPRAwOiRd5g==" spinCount="100000" sheet="1" objects="1" scenarios="1" selectLockedCells="1"/>
  <mergeCells count="6">
    <mergeCell ref="C2:D2"/>
    <mergeCell ref="E2:G2"/>
    <mergeCell ref="C3:D3"/>
    <mergeCell ref="C4:D4"/>
    <mergeCell ref="G4:I6"/>
    <mergeCell ref="C6:D6"/>
  </mergeCells>
  <dataValidations count="2">
    <dataValidation type="list" allowBlank="1" showInputMessage="1" showErrorMessage="1" sqref="E4" xr:uid="{E94684DE-5998-4774-A470-97EFC7C94A7C}">
      <formula1>"Monto, Capacidad"</formula1>
    </dataValidation>
    <dataValidation type="custom" allowBlank="1" showInputMessage="1" showErrorMessage="1" sqref="E6" xr:uid="{603388F4-C8AF-44CC-9A72-53E417F5B475}">
      <formula1>E6&gt;=0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F1F17-4660-4C8E-B715-6B43FA3AFCD7}">
  <dimension ref="A1:AX93"/>
  <sheetViews>
    <sheetView showGridLines="0" topLeftCell="B1" zoomScale="160" zoomScaleNormal="160" workbookViewId="0">
      <selection activeCell="E6" sqref="E6"/>
    </sheetView>
  </sheetViews>
  <sheetFormatPr baseColWidth="10" defaultRowHeight="15" x14ac:dyDescent="0.25"/>
  <cols>
    <col min="1" max="1" width="3" style="7" hidden="1" customWidth="1"/>
    <col min="2" max="2" width="4.42578125" style="7" customWidth="1"/>
    <col min="3" max="3" width="11.42578125" style="7"/>
    <col min="4" max="4" width="14.42578125" style="7" bestFit="1" customWidth="1"/>
    <col min="5" max="5" width="13.140625" style="7" bestFit="1" customWidth="1"/>
    <col min="6" max="6" width="13.5703125" style="7" bestFit="1" customWidth="1"/>
    <col min="7" max="7" width="11.140625" style="7" bestFit="1" customWidth="1"/>
    <col min="8" max="8" width="14.42578125" style="7" bestFit="1" customWidth="1"/>
    <col min="9" max="9" width="13.28515625" style="7" bestFit="1" customWidth="1"/>
    <col min="10" max="10" width="12.7109375" style="7" customWidth="1"/>
    <col min="11" max="11" width="14.28515625" style="7" bestFit="1" customWidth="1"/>
    <col min="12" max="12" width="14.140625" style="7" bestFit="1" customWidth="1"/>
    <col min="13" max="14" width="11.42578125" style="7"/>
    <col min="15" max="16" width="0" style="7" hidden="1" customWidth="1"/>
    <col min="17" max="17" width="6" style="7" customWidth="1"/>
    <col min="18" max="18" width="6.42578125" style="7" customWidth="1"/>
    <col min="19" max="19" width="5.7109375" style="7" customWidth="1"/>
    <col min="20" max="20" width="4.28515625" style="7" customWidth="1"/>
    <col min="21" max="21" width="3.5703125" style="7" customWidth="1"/>
    <col min="22" max="41" width="11.42578125" style="7"/>
    <col min="42" max="42" width="8.5703125" style="7" bestFit="1" customWidth="1"/>
    <col min="43" max="43" width="14.42578125" style="12" bestFit="1" customWidth="1"/>
    <col min="44" max="44" width="17.140625" style="12" bestFit="1" customWidth="1"/>
    <col min="45" max="45" width="20" style="7" bestFit="1" customWidth="1"/>
    <col min="46" max="46" width="14.5703125" style="7" bestFit="1" customWidth="1"/>
    <col min="47" max="47" width="12.5703125" style="7" bestFit="1" customWidth="1"/>
    <col min="48" max="48" width="12.140625" style="7" bestFit="1" customWidth="1"/>
    <col min="49" max="16384" width="11.42578125" style="7"/>
  </cols>
  <sheetData>
    <row r="1" spans="1:50" s="1" customFormat="1" x14ac:dyDescent="0.25">
      <c r="A1" s="2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P1" s="4" t="s">
        <v>12</v>
      </c>
      <c r="AQ1" s="1" t="s">
        <v>13</v>
      </c>
      <c r="AR1" s="1" t="s">
        <v>14</v>
      </c>
      <c r="AS1" s="1" t="s">
        <v>16</v>
      </c>
      <c r="AT1" s="1" t="s">
        <v>15</v>
      </c>
      <c r="AU1" s="1" t="s">
        <v>17</v>
      </c>
      <c r="AV1" s="1" t="s">
        <v>18</v>
      </c>
      <c r="AW1" s="1" t="s">
        <v>25</v>
      </c>
      <c r="AX1" s="1" t="s">
        <v>26</v>
      </c>
    </row>
    <row r="2" spans="1:50" s="1" customFormat="1" x14ac:dyDescent="0.25">
      <c r="A2" s="2"/>
      <c r="B2" s="14"/>
      <c r="C2" s="22" t="s">
        <v>0</v>
      </c>
      <c r="D2" s="22"/>
      <c r="E2" s="23" t="s">
        <v>23</v>
      </c>
      <c r="F2" s="23"/>
      <c r="G2" s="23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P2" s="1">
        <v>96</v>
      </c>
      <c r="AQ2" s="3">
        <v>1000000</v>
      </c>
      <c r="AR2" s="3">
        <v>20721.310000000001</v>
      </c>
      <c r="AS2" s="9">
        <f t="shared" ref="AS2:AS6" si="0">RATE(AP2,-AR2,AQ2,0,0)</f>
        <v>1.6355999920755839E-2</v>
      </c>
      <c r="AT2" s="9">
        <f>AS2*2</f>
        <v>3.2711999841511678E-2</v>
      </c>
      <c r="AU2" s="9">
        <f>AT2/1.16</f>
        <v>2.8199999863372138E-2</v>
      </c>
      <c r="AV2" s="9">
        <f>AU2*12</f>
        <v>0.33839999836046564</v>
      </c>
      <c r="AW2" s="9">
        <v>0.39900000000000002</v>
      </c>
      <c r="AX2" s="9">
        <f>AW2*1.16</f>
        <v>0.46283999999999997</v>
      </c>
    </row>
    <row r="3" spans="1:50" s="1" customFormat="1" ht="15" customHeight="1" x14ac:dyDescent="0.25">
      <c r="A3" s="2"/>
      <c r="B3" s="14"/>
      <c r="C3" s="22" t="s">
        <v>1</v>
      </c>
      <c r="D3" s="22"/>
      <c r="E3" s="13" t="s">
        <v>2</v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Q3" s="3"/>
      <c r="AR3" s="3"/>
      <c r="AS3" s="9"/>
      <c r="AT3" s="9"/>
      <c r="AU3" s="9"/>
      <c r="AV3" s="9"/>
      <c r="AW3" s="9"/>
      <c r="AX3" s="9"/>
    </row>
    <row r="4" spans="1:50" s="1" customFormat="1" ht="15" customHeight="1" x14ac:dyDescent="0.25">
      <c r="A4" s="2"/>
      <c r="B4" s="14"/>
      <c r="C4" s="22" t="s">
        <v>8</v>
      </c>
      <c r="D4" s="22"/>
      <c r="E4" s="10" t="s">
        <v>24</v>
      </c>
      <c r="F4" s="14"/>
      <c r="G4" s="25" t="s">
        <v>29</v>
      </c>
      <c r="H4" s="25"/>
      <c r="I4" s="25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Q4" s="3"/>
      <c r="AR4" s="3"/>
      <c r="AS4" s="9"/>
      <c r="AT4" s="9"/>
      <c r="AU4" s="9"/>
      <c r="AV4" s="9"/>
      <c r="AW4" s="9"/>
      <c r="AX4" s="9"/>
    </row>
    <row r="5" spans="1:50" s="1" customFormat="1" x14ac:dyDescent="0.25">
      <c r="A5" s="2"/>
      <c r="B5" s="14"/>
      <c r="C5" s="14"/>
      <c r="D5" s="14"/>
      <c r="E5" s="14"/>
      <c r="F5" s="14"/>
      <c r="G5" s="25"/>
      <c r="H5" s="25"/>
      <c r="I5" s="25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Q5" s="3"/>
      <c r="AR5" s="3"/>
      <c r="AS5" s="9"/>
      <c r="AT5" s="9"/>
      <c r="AU5" s="9"/>
      <c r="AV5" s="9"/>
      <c r="AW5" s="9"/>
      <c r="AX5" s="9"/>
    </row>
    <row r="6" spans="1:50" s="1" customFormat="1" x14ac:dyDescent="0.25">
      <c r="A6" s="2"/>
      <c r="B6" s="14"/>
      <c r="C6" s="22" t="str">
        <f>IF(E4="MONTO","Ingrese el Monto:","Ingrese la capacidad:")</f>
        <v>Ingrese el Monto:</v>
      </c>
      <c r="D6" s="22"/>
      <c r="E6" s="11">
        <v>100000</v>
      </c>
      <c r="F6" s="14"/>
      <c r="G6" s="25"/>
      <c r="H6" s="25"/>
      <c r="I6" s="25"/>
      <c r="J6" s="14"/>
      <c r="K6" s="18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Q6" s="3"/>
      <c r="AR6" s="3"/>
      <c r="AS6" s="9"/>
      <c r="AT6" s="9"/>
      <c r="AU6" s="9"/>
      <c r="AV6" s="9"/>
      <c r="AW6" s="9"/>
      <c r="AX6" s="9"/>
    </row>
    <row r="7" spans="1:50" s="1" customFormat="1" x14ac:dyDescent="0.25">
      <c r="A7" s="2"/>
      <c r="B7" s="14"/>
      <c r="C7" s="14"/>
      <c r="D7" s="14"/>
      <c r="E7" s="14"/>
      <c r="F7" s="15"/>
      <c r="G7" s="15"/>
      <c r="H7" s="16"/>
      <c r="I7" s="17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Q7" s="3"/>
      <c r="AR7" s="3"/>
      <c r="AS7" s="9"/>
      <c r="AT7" s="9"/>
      <c r="AU7" s="9"/>
      <c r="AV7" s="9"/>
      <c r="AW7" s="9"/>
      <c r="AX7" s="9"/>
    </row>
    <row r="8" spans="1:50" s="1" customFormat="1" x14ac:dyDescent="0.25">
      <c r="A8" s="2"/>
      <c r="B8" s="14"/>
      <c r="C8" s="20" t="s">
        <v>3</v>
      </c>
      <c r="D8" s="20" t="s">
        <v>4</v>
      </c>
      <c r="E8" s="20" t="s">
        <v>19</v>
      </c>
      <c r="F8" s="20" t="s">
        <v>21</v>
      </c>
      <c r="G8" s="20" t="s">
        <v>22</v>
      </c>
      <c r="H8" s="20" t="s">
        <v>9</v>
      </c>
      <c r="I8" s="20" t="s">
        <v>6</v>
      </c>
      <c r="J8" s="20" t="s">
        <v>10</v>
      </c>
      <c r="K8" s="20" t="s">
        <v>11</v>
      </c>
      <c r="L8" s="20" t="s">
        <v>5</v>
      </c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Q8" s="3"/>
      <c r="AR8" s="3"/>
    </row>
    <row r="9" spans="1:50" s="1" customFormat="1" x14ac:dyDescent="0.25">
      <c r="A9" s="2">
        <v>96</v>
      </c>
      <c r="B9" s="14"/>
      <c r="C9" s="5" t="str">
        <f>CONCATENATE(A9," Q")</f>
        <v>96 Q</v>
      </c>
      <c r="D9" s="6">
        <f>IF(IF($E$4="MONTO",IF((IF(MOD($E$6,500)=0,$E$6,$E$6-MOD($E$6,500)))&gt;1000000,1000000,IF(MOD($E$6,500)=0,$E$6,$E$6-MOD($E$6,500))),IF(((1-(1+(F9/2))^(-A9))/((F9/2)))*$E$6&gt;1000000,1000000,IF(MOD(((1-(1+(F9/2))^(-A9))/(F9))*$E$6,500)=0,((1-(1+(F9/2))^(-A9))/((F9/2)))*$E$6,((1-(1+(F9/2))^(-A9))/((F9/2)))*$E$6-MOD(((1-(1+(F9/2))^(-A9))/((F9/2)))*$E$6,500))))&lt;100000,
0,
IF($E$4="MONTO",IF((IF(MOD($E$6,500)=0,$E$6,$E$6-MOD($E$6,500)))&gt;1000000,1000000,IF(MOD($E$6,500)=0,$E$6,$E$6-MOD($E$6,500))),IF(((1-(1+(F9/2))^(-A9))/((F9/2)))*$E$6&gt;1000000,1000000,IF(MOD(((1-(1+(F9/2))^(-A9))/(F9))*$E$6,500)=0,((1-(1+(F9/2))^(-A9))/((F9/2)))*$E$6,((1-(1+(F9/2))^(-A9))/((F9/2)))*$E$6-MOD(((1-(1+(F9/2))^(-A9))/((F9/2)))*$E$6,500)))))</f>
        <v>100000</v>
      </c>
      <c r="E9" s="6">
        <f>ROUND(-PMT(F9/2,A9,D9,,0),2)</f>
        <v>2072.13</v>
      </c>
      <c r="F9" s="8">
        <f>VLOOKUP(A9,$AP$1:$AT$6,5,0)</f>
        <v>3.2711999841511678E-2</v>
      </c>
      <c r="G9" s="8">
        <f>VLOOKUP(A9,$AP$1:$AU$6,6,0)</f>
        <v>2.8199999863372138E-2</v>
      </c>
      <c r="H9" s="8">
        <f>IFERROR(((L9-I9)/I9)/(A9/2),0)</f>
        <v>2.0609266666666671E-2</v>
      </c>
      <c r="I9" s="6">
        <f t="shared" ref="I9" si="1">D9</f>
        <v>100000</v>
      </c>
      <c r="J9" s="6">
        <f t="shared" ref="J9" si="2">(L9-I9)/1.16</f>
        <v>85279.724137931044</v>
      </c>
      <c r="K9" s="6">
        <f t="shared" ref="K9" si="3">J9*16%</f>
        <v>13644.755862068967</v>
      </c>
      <c r="L9" s="6">
        <f>E9*A9</f>
        <v>198924.48</v>
      </c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Q9" s="9"/>
      <c r="AR9" s="9"/>
      <c r="AS9" s="9"/>
      <c r="AT9" s="9"/>
      <c r="AW9" s="9"/>
    </row>
    <row r="10" spans="1:50" s="1" customFormat="1" x14ac:dyDescent="0.25">
      <c r="A10" s="2"/>
      <c r="B10" s="14"/>
      <c r="C10" s="19" t="s">
        <v>7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Q10" s="9"/>
      <c r="AR10" s="3"/>
    </row>
    <row r="11" spans="1:50" s="1" customFormat="1" x14ac:dyDescent="0.25">
      <c r="A11" s="2"/>
      <c r="B11" s="14"/>
      <c r="C11" s="19" t="s">
        <v>20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Q11" s="3"/>
      <c r="AR11" s="3"/>
    </row>
    <row r="12" spans="1:50" s="1" customFormat="1" x14ac:dyDescent="0.25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Q12" s="3"/>
      <c r="AR12" s="3"/>
    </row>
    <row r="13" spans="1:50" s="1" customFormat="1" x14ac:dyDescent="0.25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Q13" s="3"/>
      <c r="AR13" s="3"/>
    </row>
    <row r="14" spans="1:50" s="1" customFormat="1" x14ac:dyDescent="0.25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Q14" s="3"/>
      <c r="AR14" s="3"/>
    </row>
    <row r="15" spans="1:50" s="1" customFormat="1" x14ac:dyDescent="0.25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Q15" s="3"/>
      <c r="AR15" s="3"/>
    </row>
    <row r="16" spans="1:50" s="1" customFormat="1" x14ac:dyDescent="0.2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Q16" s="3"/>
      <c r="AR16" s="3"/>
    </row>
    <row r="17" spans="2:44" s="1" customFormat="1" x14ac:dyDescent="0.25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Q17" s="3"/>
      <c r="AR17" s="3"/>
    </row>
    <row r="18" spans="2:44" s="1" customFormat="1" x14ac:dyDescent="0.2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Q18" s="3"/>
      <c r="AR18" s="3"/>
    </row>
    <row r="19" spans="2:44" s="1" customFormat="1" x14ac:dyDescent="0.25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Q19" s="3"/>
      <c r="AR19" s="3"/>
    </row>
    <row r="20" spans="2:44" x14ac:dyDescent="0.25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2:44" x14ac:dyDescent="0.25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</row>
    <row r="22" spans="2:44" x14ac:dyDescent="0.2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</row>
    <row r="23" spans="2:44" x14ac:dyDescent="0.25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</row>
    <row r="24" spans="2:44" x14ac:dyDescent="0.25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2:44" x14ac:dyDescent="0.25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2:44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2:44" x14ac:dyDescent="0.25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2:44" x14ac:dyDescent="0.2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  <row r="29" spans="2:44" x14ac:dyDescent="0.25"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  <row r="30" spans="2:44" x14ac:dyDescent="0.25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</row>
    <row r="31" spans="2:44" x14ac:dyDescent="0.25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</row>
    <row r="32" spans="2:44" x14ac:dyDescent="0.25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</row>
    <row r="33" spans="2:27" x14ac:dyDescent="0.25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</row>
    <row r="34" spans="2:27" x14ac:dyDescent="0.2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</row>
    <row r="35" spans="2:27" x14ac:dyDescent="0.25"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</row>
    <row r="36" spans="2:27" x14ac:dyDescent="0.25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</row>
    <row r="37" spans="2:27" x14ac:dyDescent="0.25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</row>
    <row r="38" spans="2:27" x14ac:dyDescent="0.25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</row>
    <row r="39" spans="2:27" x14ac:dyDescent="0.25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0" spans="2:27" x14ac:dyDescent="0.2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 spans="2:27" x14ac:dyDescent="0.25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</row>
    <row r="42" spans="2:27" x14ac:dyDescent="0.25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</row>
    <row r="43" spans="2:27" x14ac:dyDescent="0.25"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</row>
    <row r="44" spans="2:27" x14ac:dyDescent="0.25"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</row>
    <row r="45" spans="2:27" x14ac:dyDescent="0.25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</row>
    <row r="46" spans="2:27" x14ac:dyDescent="0.25">
      <c r="B46" s="1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2:27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7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2:27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2:27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2:27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2:27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2:27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2:27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2:27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2:27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2:27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2:27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2:27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2:27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2:27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2:27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2:27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2:27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2:27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2:27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2:27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2:27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2:27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2:27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2:27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2:27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2:27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2:27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2:27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2:27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2:27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2:27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2:27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2:27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2:27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2:27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2:27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2:27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2:27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2:27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2:27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2:27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2:27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2:27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2:27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2:27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2:27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</sheetData>
  <sheetProtection algorithmName="SHA-512" hashValue="o8C0b+NKRJHQX6NLT3gBJck/oIMZOP8Ka5JejMPVJAcrbI0huDN7nHlkCI0ajCmtpcKNc8D/y1dYKpBmfTV/6A==" saltValue="uolRkGdew2PBzFWf4mwRqA==" spinCount="100000" sheet="1" objects="1" scenarios="1" selectLockedCells="1"/>
  <mergeCells count="6">
    <mergeCell ref="C2:D2"/>
    <mergeCell ref="E2:G2"/>
    <mergeCell ref="C3:D3"/>
    <mergeCell ref="C4:D4"/>
    <mergeCell ref="G4:I6"/>
    <mergeCell ref="C6:D6"/>
  </mergeCells>
  <dataValidations count="2">
    <dataValidation type="custom" allowBlank="1" showInputMessage="1" showErrorMessage="1" sqref="E6" xr:uid="{4E9BC402-492A-45BC-B12C-D5E98BB4B848}">
      <formula1>E6&gt;=0</formula1>
    </dataValidation>
    <dataValidation type="list" allowBlank="1" showInputMessage="1" showErrorMessage="1" sqref="E4" xr:uid="{D1FEC2C5-A33A-4254-A5AC-C22317868177}">
      <formula1>"Monto, Capacidad"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CORRESPONSAL 4747</vt:lpstr>
      <vt:lpstr>4750-MAX</vt:lpstr>
      <vt:lpstr>4752-VIP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Inmedicredit</cp:lastModifiedBy>
  <dcterms:created xsi:type="dcterms:W3CDTF">2022-04-20T16:01:06Z</dcterms:created>
  <dcterms:modified xsi:type="dcterms:W3CDTF">2026-05-29T01:55:08Z</dcterms:modified>
</cp:coreProperties>
</file>