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3677FD30-D22E-40D9-BDFA-C9ED2BA76FC4}" xr6:coauthVersionLast="47" xr6:coauthVersionMax="47" xr10:uidLastSave="{00000000-0000-0000-0000-000000000000}"/>
  <bookViews>
    <workbookView showHorizontalScroll="0" showVerticalScroll="0" xWindow="-120" yWindow="-120" windowWidth="20640" windowHeight="11040" xr2:uid="{00000000-000D-0000-FFFF-FFFF00000000}"/>
  </bookViews>
  <sheets>
    <sheet name="4754-CSP PLEY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6" l="1"/>
  <c r="E10" i="6"/>
  <c r="E9" i="6"/>
  <c r="C11" i="6" l="1"/>
  <c r="C10" i="6"/>
  <c r="C9" i="6"/>
  <c r="AU3" i="6"/>
  <c r="AU4" i="6"/>
  <c r="AU5" i="6"/>
  <c r="AU6" i="6"/>
  <c r="J11" i="6" l="1"/>
  <c r="D11" i="6"/>
  <c r="J10" i="6"/>
  <c r="D10" i="6"/>
  <c r="J9" i="6"/>
  <c r="D9" i="6"/>
  <c r="D6" i="6"/>
  <c r="S5" i="6"/>
  <c r="T5" i="6" s="1"/>
  <c r="U5" i="6" s="1"/>
  <c r="V5" i="6" s="1"/>
  <c r="S4" i="6"/>
  <c r="T4" i="6" s="1"/>
  <c r="U4" i="6" s="1"/>
  <c r="V4" i="6" s="1"/>
  <c r="S3" i="6"/>
  <c r="T3" i="6" s="1"/>
  <c r="U3" i="6" s="1"/>
  <c r="V3" i="6" s="1"/>
  <c r="AU2" i="6"/>
  <c r="S2" i="6"/>
  <c r="T2" i="6" s="1"/>
  <c r="U2" i="6" s="1"/>
  <c r="V2" i="6" s="1"/>
  <c r="G9" i="6" l="1"/>
  <c r="F9" i="6" s="1"/>
  <c r="M9" i="6" s="1"/>
  <c r="G10" i="6"/>
  <c r="H10" i="6" s="1"/>
  <c r="G11" i="6"/>
  <c r="H9" i="6" l="1"/>
  <c r="F10" i="6"/>
  <c r="M10" i="6" s="1"/>
  <c r="I10" i="6" s="1"/>
  <c r="H11" i="6"/>
  <c r="F11" i="6"/>
  <c r="M11" i="6" s="1"/>
  <c r="K9" i="6"/>
  <c r="L9" i="6" s="1"/>
  <c r="I9" i="6"/>
  <c r="K10" i="6" l="1"/>
  <c r="L10" i="6" s="1"/>
  <c r="K11" i="6"/>
  <c r="L11" i="6" s="1"/>
  <c r="I11" i="6"/>
</calcChain>
</file>

<file path=xl/sharedStrings.xml><?xml version="1.0" encoding="utf-8"?>
<sst xmlns="http://schemas.openxmlformats.org/spreadsheetml/2006/main" count="32" uniqueCount="29">
  <si>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</si>
  <si>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</si>
  <si>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</si>
  <si>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</si>
  <si>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</si>
  <si>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</si>
  <si>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</si>
  <si>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</si>
  <si>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</si>
  <si>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</si>
  <si>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</si>
  <si>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</si>
  <si>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</si>
  <si>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</si>
  <si>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</si>
  <si>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</si>
  <si>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</si>
  <si>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</si>
  <si>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</si>
  <si>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</si>
  <si>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</si>
  <si>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</si>
  <si>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</si>
  <si>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</si>
  <si>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Decuento</t>
  </si>
  <si>
    <t>IMSS PENSIONADO LEY/CONSUPAGO</t>
  </si>
  <si>
    <t>Cat con IVA</t>
  </si>
  <si>
    <t>CAT IVA PORTAL</t>
  </si>
  <si>
    <t>Condiciones:
Se puede utilizar para simulaciones de créditos nuevos, renovaciones, LQ-3 y compras intercompañías (CSB, OPC Y MSN).
36 a 48 M, monto mínimo 15,000.
60 M, monto mínimo 10,000.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</si>
</sst>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%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 applyProtection="1"/>
    <xf numFmtId="44" fontId="0" fillId="3" borderId="0" xfId="0" applyNumberFormat="1" applyFill="1" applyProtection="1"/>
    <xf numFmtId="0" fontId="0" fillId="3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3" borderId="0" xfId="0" applyFont="1" applyFill="1" applyBorder="1" applyProtection="1"/>
    <xf numFmtId="10" fontId="0" fillId="3" borderId="0" xfId="0" applyNumberFormat="1" applyFill="1" applyProtection="1"/>
    <xf numFmtId="10" fontId="0" fillId="3" borderId="0" xfId="2" applyNumberFormat="1" applyFont="1" applyFill="1" applyProtection="1"/>
    <xf numFmtId="8" fontId="0" fillId="3" borderId="0" xfId="0" applyNumberFormat="1" applyFont="1" applyFill="1" applyProtection="1"/>
    <xf numFmtId="8" fontId="0" fillId="3" borderId="0" xfId="0" applyNumberFormat="1" applyFill="1" applyProtection="1"/>
    <xf numFmtId="0" fontId="4" fillId="3" borderId="0" xfId="0" applyFont="1" applyFill="1" applyAlignment="1" applyProtection="1">
      <alignment horizontal="center"/>
      <protection locked="0"/>
    </xf>
    <xf numFmtId="44" fontId="6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44" fontId="0" fillId="3" borderId="0" xfId="0" applyNumberFormat="1" applyFont="1" applyFill="1" applyProtection="1"/>
    <xf numFmtId="44" fontId="0" fillId="0" borderId="0" xfId="0" applyNumberFormat="1" applyProtection="1"/>
    <xf numFmtId="0" fontId="0" fillId="4" borderId="0" xfId="0" applyFill="1" applyProtection="1"/>
    <xf numFmtId="0" fontId="1" fillId="4" borderId="0" xfId="0" applyFont="1" applyFill="1" applyAlignment="1" applyProtection="1">
      <alignment horizontal="center"/>
    </xf>
    <xf numFmtId="0" fontId="5" fillId="4" borderId="0" xfId="0" applyFont="1" applyFill="1" applyProtection="1"/>
    <xf numFmtId="0" fontId="1" fillId="5" borderId="0" xfId="0" applyFont="1" applyFill="1" applyAlignment="1" applyProtection="1">
      <alignment horizontal="center"/>
    </xf>
    <xf numFmtId="165" fontId="0" fillId="2" borderId="0" xfId="0" applyNumberFormat="1" applyFill="1" applyAlignment="1" applyProtection="1">
      <alignment horizontal="center"/>
    </xf>
    <xf numFmtId="0" fontId="1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3" borderId="0" xfId="0" applyFont="1" applyFill="1" applyAlignment="1" applyProtection="1">
      <alignment horizontal="center" vertical="center" wrapText="1"/>
      <protection hidden="1"/>
    </xf>
    <xf numFmtId="165" fontId="0" fillId="3" borderId="0" xfId="0" applyNumberFormat="1" applyFill="1" applyProtection="1"/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showGridLines="0" tabSelected="1" topLeftCell="B1" zoomScale="130" zoomScaleNormal="130" workbookViewId="0">
      <selection activeCell="F4" sqref="F4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3.5703125" style="6" customWidth="1"/>
    <col min="4" max="4" width="11.42578125" style="6"/>
    <col min="5" max="5" width="14.42578125" style="6" bestFit="1" customWidth="1"/>
    <col min="6" max="6" width="19.5703125" style="6" bestFit="1" customWidth="1"/>
    <col min="7" max="7" width="13.5703125" style="6" bestFit="1" customWidth="1"/>
    <col min="8" max="8" width="11.140625" style="6" bestFit="1" customWidth="1"/>
    <col min="9" max="9" width="14.42578125" style="6" bestFit="1" customWidth="1"/>
    <col min="10" max="10" width="15.7109375" style="6" customWidth="1"/>
    <col min="11" max="13" width="16.42578125" style="6" customWidth="1"/>
    <col min="14" max="15" width="11.42578125" style="6"/>
    <col min="16" max="21" width="0" style="6" hidden="1" customWidth="1"/>
    <col min="22" max="22" width="13.140625" style="6" hidden="1" customWidth="1"/>
    <col min="23" max="43" width="11.42578125" style="6"/>
    <col min="44" max="44" width="8.5703125" style="6" bestFit="1" customWidth="1"/>
    <col min="45" max="45" width="15" style="18" bestFit="1" customWidth="1"/>
    <col min="46" max="46" width="11.5703125" style="15" bestFit="1" customWidth="1"/>
    <col min="47" max="47" width="14.5703125" style="6" bestFit="1" customWidth="1"/>
    <col min="48" max="48" width="12.5703125" style="6" bestFit="1" customWidth="1"/>
    <col min="49" max="49" width="12.140625" style="6" bestFit="1" customWidth="1"/>
    <col min="50" max="16384" width="11.42578125" style="6"/>
  </cols>
  <sheetData>
    <row r="1" spans="1:52" s="1" customForma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3"/>
      <c r="P1" s="3" t="s">
        <v>12</v>
      </c>
      <c r="Q1" s="1" t="s">
        <v>13</v>
      </c>
      <c r="R1" s="1" t="s">
        <v>14</v>
      </c>
      <c r="S1" s="1" t="s">
        <v>16</v>
      </c>
      <c r="T1" s="1" t="s">
        <v>15</v>
      </c>
      <c r="U1" s="1" t="s">
        <v>17</v>
      </c>
      <c r="V1" s="1" t="s">
        <v>18</v>
      </c>
      <c r="AR1" s="3" t="s">
        <v>12</v>
      </c>
      <c r="AS1" s="17" t="s">
        <v>20</v>
      </c>
      <c r="AT1" s="11" t="s">
        <v>21</v>
      </c>
      <c r="AU1" s="1" t="s">
        <v>15</v>
      </c>
      <c r="AZ1" s="1" t="s">
        <v>27</v>
      </c>
    </row>
    <row r="2" spans="1:52" s="1" customFormat="1" x14ac:dyDescent="0.25">
      <c r="A2" s="19"/>
      <c r="B2" s="19"/>
      <c r="C2" s="19"/>
      <c r="D2" s="24" t="s">
        <v>0</v>
      </c>
      <c r="E2" s="24"/>
      <c r="F2" s="25" t="s">
        <v>25</v>
      </c>
      <c r="G2" s="25"/>
      <c r="H2" s="25"/>
      <c r="I2" s="19"/>
      <c r="J2" s="19"/>
      <c r="K2" s="19"/>
      <c r="L2" s="19"/>
      <c r="M2" s="19"/>
      <c r="N2" s="19"/>
      <c r="O2" s="3"/>
      <c r="P2" s="8">
        <v>24</v>
      </c>
      <c r="Q2" s="11">
        <v>497000</v>
      </c>
      <c r="R2" s="12">
        <v>25850.25</v>
      </c>
      <c r="S2" s="9">
        <f>RATE(P2,-R2,Q2,0,0)</f>
        <v>1.8560002435494275E-2</v>
      </c>
      <c r="T2" s="10">
        <f>S2*2</f>
        <v>3.712000487098855E-2</v>
      </c>
      <c r="U2" s="10">
        <f>T2/1.16</f>
        <v>3.200000419912806E-2</v>
      </c>
      <c r="V2" s="10">
        <f>U2*12</f>
        <v>0.38400005038953672</v>
      </c>
      <c r="AR2" s="1">
        <v>24</v>
      </c>
      <c r="AS2" s="2">
        <v>200000</v>
      </c>
      <c r="AT2" s="16">
        <v>11903.81</v>
      </c>
      <c r="AU2" s="9">
        <f t="shared" ref="AU2" si="0">RATE(AR2,-AT2,AS2,0,0)</f>
        <v>3.0739916578908857E-2</v>
      </c>
      <c r="AV2" s="27"/>
      <c r="AW2" s="9"/>
      <c r="AX2" s="9"/>
      <c r="AY2" s="9"/>
      <c r="AZ2" s="9">
        <v>0.43809999999999999</v>
      </c>
    </row>
    <row r="3" spans="1:52" s="1" customFormat="1" ht="15" customHeight="1" x14ac:dyDescent="0.25">
      <c r="A3" s="19"/>
      <c r="B3" s="19"/>
      <c r="C3" s="19"/>
      <c r="D3" s="24" t="s">
        <v>1</v>
      </c>
      <c r="E3" s="24"/>
      <c r="F3" s="20" t="s">
        <v>2</v>
      </c>
      <c r="G3" s="19"/>
      <c r="H3" s="19"/>
      <c r="I3" s="19"/>
      <c r="J3" s="19"/>
      <c r="K3" s="19"/>
      <c r="L3" s="19"/>
      <c r="M3" s="19"/>
      <c r="N3" s="19"/>
      <c r="O3" s="3"/>
      <c r="P3" s="8">
        <v>48</v>
      </c>
      <c r="Q3" s="11">
        <v>497000</v>
      </c>
      <c r="R3" s="11">
        <v>15732</v>
      </c>
      <c r="S3" s="9">
        <f t="shared" ref="S3:S5" si="1">RATE(P3,-R3,Q3,0,0)</f>
        <v>1.8559989355188038E-2</v>
      </c>
      <c r="T3" s="10">
        <f t="shared" ref="T3:T5" si="2">S3*2</f>
        <v>3.7119978710376075E-2</v>
      </c>
      <c r="U3" s="10">
        <f t="shared" ref="U3:U5" si="3">T3/1.16</f>
        <v>3.1999981646875932E-2</v>
      </c>
      <c r="V3" s="10">
        <f t="shared" ref="V3:V5" si="4">U3*12</f>
        <v>0.38399977976251121</v>
      </c>
      <c r="AR3" s="1">
        <v>36</v>
      </c>
      <c r="AS3" s="2">
        <v>200000</v>
      </c>
      <c r="AT3" s="16">
        <v>9253.9699999999993</v>
      </c>
      <c r="AU3" s="9">
        <f t="shared" ref="AU3:AU5" si="5">RATE(AR3,-AT3,AS3,0,0)</f>
        <v>3.0680189258179238E-2</v>
      </c>
      <c r="AV3" s="27"/>
      <c r="AW3" s="9"/>
      <c r="AX3" s="9"/>
      <c r="AY3" s="9"/>
      <c r="AZ3" s="9">
        <v>0.43709999999999999</v>
      </c>
    </row>
    <row r="4" spans="1:52" s="1" customFormat="1" ht="15" customHeight="1" x14ac:dyDescent="0.25">
      <c r="A4" s="19"/>
      <c r="B4" s="19"/>
      <c r="C4" s="19"/>
      <c r="D4" s="24" t="s">
        <v>8</v>
      </c>
      <c r="E4" s="24"/>
      <c r="F4" s="13" t="s">
        <v>20</v>
      </c>
      <c r="G4" s="19"/>
      <c r="H4" s="26" t="s">
        <v>28</v>
      </c>
      <c r="I4" s="26"/>
      <c r="J4" s="26"/>
      <c r="K4" s="26"/>
      <c r="L4" s="19"/>
      <c r="M4" s="19"/>
      <c r="N4" s="19"/>
      <c r="O4" s="3"/>
      <c r="P4" s="8">
        <v>72</v>
      </c>
      <c r="Q4" s="11">
        <v>497000</v>
      </c>
      <c r="R4" s="11">
        <v>12568.05</v>
      </c>
      <c r="S4" s="9">
        <f t="shared" si="1"/>
        <v>1.855999177746296E-2</v>
      </c>
      <c r="T4" s="10">
        <f t="shared" si="2"/>
        <v>3.711998355492592E-2</v>
      </c>
      <c r="U4" s="10">
        <f t="shared" si="3"/>
        <v>3.1999985823212E-2</v>
      </c>
      <c r="V4" s="10">
        <f t="shared" si="4"/>
        <v>0.38399982987854397</v>
      </c>
      <c r="AR4" s="1">
        <v>48</v>
      </c>
      <c r="AS4" s="2">
        <v>200000</v>
      </c>
      <c r="AT4" s="16">
        <v>8015.2</v>
      </c>
      <c r="AU4" s="9">
        <f t="shared" si="5"/>
        <v>3.0680130098834347E-2</v>
      </c>
      <c r="AV4" s="27"/>
      <c r="AW4" s="9"/>
      <c r="AX4" s="9"/>
      <c r="AY4" s="9"/>
      <c r="AZ4" s="9">
        <v>0.43709999999999999</v>
      </c>
    </row>
    <row r="5" spans="1:52" s="1" customFormat="1" ht="15" customHeight="1" x14ac:dyDescent="0.25">
      <c r="A5" s="19"/>
      <c r="B5" s="19"/>
      <c r="C5" s="19"/>
      <c r="D5" s="19"/>
      <c r="E5" s="19"/>
      <c r="F5" s="19"/>
      <c r="G5" s="19"/>
      <c r="H5" s="26"/>
      <c r="I5" s="26"/>
      <c r="J5" s="26"/>
      <c r="K5" s="26"/>
      <c r="L5" s="19"/>
      <c r="M5" s="19"/>
      <c r="N5" s="19"/>
      <c r="P5" s="8">
        <v>96</v>
      </c>
      <c r="Q5" s="11">
        <v>497000</v>
      </c>
      <c r="R5" s="11">
        <v>11128.57</v>
      </c>
      <c r="S5" s="9">
        <f t="shared" si="1"/>
        <v>1.8559997634293605E-2</v>
      </c>
      <c r="T5" s="10">
        <f t="shared" si="2"/>
        <v>3.7119995268587211E-2</v>
      </c>
      <c r="U5" s="10">
        <f t="shared" si="3"/>
        <v>3.1999995921195873E-2</v>
      </c>
      <c r="V5" s="10">
        <f t="shared" si="4"/>
        <v>0.38399995105435047</v>
      </c>
      <c r="AR5" s="1">
        <v>54</v>
      </c>
      <c r="AS5" s="2">
        <v>200000</v>
      </c>
      <c r="AT5" s="16">
        <v>7619.68</v>
      </c>
      <c r="AU5" s="9">
        <f t="shared" si="5"/>
        <v>3.062635262409415E-2</v>
      </c>
      <c r="AV5" s="27"/>
      <c r="AW5" s="9"/>
      <c r="AX5" s="9"/>
      <c r="AY5" s="9"/>
      <c r="AZ5" s="9">
        <v>0.43619999999999998</v>
      </c>
    </row>
    <row r="6" spans="1:52" s="1" customFormat="1" ht="18.75" x14ac:dyDescent="0.3">
      <c r="A6" s="19"/>
      <c r="B6" s="19"/>
      <c r="C6" s="19"/>
      <c r="D6" s="24" t="str">
        <f>IF(F4="MONTO","Ingrese el Monto:","Ingrese la capacidad:")</f>
        <v>Ingrese el Monto:</v>
      </c>
      <c r="E6" s="24"/>
      <c r="F6" s="14">
        <v>100000</v>
      </c>
      <c r="G6" s="19"/>
      <c r="H6" s="26"/>
      <c r="I6" s="26"/>
      <c r="J6" s="26"/>
      <c r="K6" s="26"/>
      <c r="L6" s="19"/>
      <c r="M6" s="19"/>
      <c r="N6" s="19"/>
      <c r="P6" s="3"/>
      <c r="Q6" s="3"/>
      <c r="R6" s="3"/>
      <c r="AR6" s="1">
        <v>60</v>
      </c>
      <c r="AS6" s="2">
        <v>200000</v>
      </c>
      <c r="AT6" s="16">
        <v>7323.84</v>
      </c>
      <c r="AU6" s="9">
        <f>RATE(AR6,-AT6,AS6,0,0)</f>
        <v>3.0626330228657631E-2</v>
      </c>
      <c r="AV6" s="27"/>
      <c r="AW6" s="9"/>
      <c r="AX6" s="9"/>
      <c r="AY6" s="9"/>
      <c r="AZ6" s="9">
        <v>0.43619999999999998</v>
      </c>
    </row>
    <row r="7" spans="1:52" s="1" customForma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AS7" s="2"/>
    </row>
    <row r="8" spans="1:52" s="1" customFormat="1" x14ac:dyDescent="0.25">
      <c r="A8" s="19"/>
      <c r="B8" s="19"/>
      <c r="C8" s="22" t="s">
        <v>26</v>
      </c>
      <c r="D8" s="22" t="s">
        <v>3</v>
      </c>
      <c r="E8" s="22" t="s">
        <v>4</v>
      </c>
      <c r="F8" s="22" t="s">
        <v>24</v>
      </c>
      <c r="G8" s="22" t="s">
        <v>22</v>
      </c>
      <c r="H8" s="22" t="s">
        <v>23</v>
      </c>
      <c r="I8" s="22" t="s">
        <v>9</v>
      </c>
      <c r="J8" s="22" t="s">
        <v>6</v>
      </c>
      <c r="K8" s="22" t="s">
        <v>10</v>
      </c>
      <c r="L8" s="22" t="s">
        <v>11</v>
      </c>
      <c r="M8" s="22" t="s">
        <v>5</v>
      </c>
      <c r="N8" s="19"/>
      <c r="AS8" s="2"/>
    </row>
    <row r="9" spans="1:52" s="1" customFormat="1" x14ac:dyDescent="0.25">
      <c r="A9" s="19">
        <v>36</v>
      </c>
      <c r="B9" s="19"/>
      <c r="C9" s="7">
        <f t="shared" ref="C9:C11" si="6">VLOOKUP(A9,$AR$1:$AZ$6,9,0)</f>
        <v>0.43709999999999999</v>
      </c>
      <c r="D9" s="4" t="str">
        <f t="shared" ref="D9:D11" si="7">CONCATENATE(A9," M")</f>
        <v>36 M</v>
      </c>
      <c r="E9" s="5">
        <f>IF(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&lt;15000,
0,
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)</f>
        <v>100000</v>
      </c>
      <c r="F9" s="5">
        <f>-PMT(G9,A9,E9,,0)</f>
        <v>4626.9850000001034</v>
      </c>
      <c r="G9" s="7">
        <f>VLOOKUP(A9,$AR$1:$AU$6,4,0)</f>
        <v>3.0680189258179238E-2</v>
      </c>
      <c r="H9" s="23">
        <f t="shared" ref="H9:H11" si="8">G9/1.16</f>
        <v>2.644843901567176E-2</v>
      </c>
      <c r="I9" s="7">
        <f>IFERROR(((M9-J9)/J9)/(A9),0)</f>
        <v>1.8492072222223252E-2</v>
      </c>
      <c r="J9" s="5">
        <f>E9</f>
        <v>100000</v>
      </c>
      <c r="K9" s="5">
        <f t="shared" ref="K9:K11" si="9">(M9-J9)/1.16</f>
        <v>57389.189655175622</v>
      </c>
      <c r="L9" s="5">
        <f t="shared" ref="L9:L11" si="10">K9*16%</f>
        <v>9182.270344828099</v>
      </c>
      <c r="M9" s="5">
        <f>F9*A9</f>
        <v>166571.46000000372</v>
      </c>
      <c r="N9" s="19"/>
      <c r="AS9" s="2"/>
    </row>
    <row r="10" spans="1:52" s="1" customFormat="1" x14ac:dyDescent="0.25">
      <c r="A10" s="19">
        <v>48</v>
      </c>
      <c r="B10" s="19"/>
      <c r="C10" s="7">
        <f t="shared" si="6"/>
        <v>0.43709999999999999</v>
      </c>
      <c r="D10" s="4" t="str">
        <f t="shared" si="7"/>
        <v>48 M</v>
      </c>
      <c r="E10" s="5">
        <f>IF(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&lt;15000,
0,
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)</f>
        <v>100000</v>
      </c>
      <c r="F10" s="5">
        <f>-PMT(G10,A10,E10,,0)</f>
        <v>4007.6000000000008</v>
      </c>
      <c r="G10" s="7">
        <f>VLOOKUP(A10,$AR$1:$AU$6,4,0)</f>
        <v>3.0680130098834347E-2</v>
      </c>
      <c r="H10" s="23">
        <f t="shared" si="8"/>
        <v>2.6448388016236508E-2</v>
      </c>
      <c r="I10" s="7">
        <f>IFERROR(((M10-J10)/J10)/(A10),0)</f>
        <v>1.9242666666666675E-2</v>
      </c>
      <c r="J10" s="5">
        <f>E10</f>
        <v>100000</v>
      </c>
      <c r="K10" s="5">
        <f t="shared" si="9"/>
        <v>79624.827586206942</v>
      </c>
      <c r="L10" s="5">
        <f t="shared" si="10"/>
        <v>12739.972413793112</v>
      </c>
      <c r="M10" s="5">
        <f>F10*A10</f>
        <v>192364.80000000005</v>
      </c>
      <c r="N10" s="19"/>
      <c r="AS10" s="2"/>
    </row>
    <row r="11" spans="1:52" s="1" customFormat="1" x14ac:dyDescent="0.25">
      <c r="A11" s="19">
        <v>60</v>
      </c>
      <c r="B11" s="19"/>
      <c r="C11" s="7">
        <f t="shared" si="6"/>
        <v>0.43619999999999998</v>
      </c>
      <c r="D11" s="4" t="str">
        <f t="shared" si="7"/>
        <v>60 M</v>
      </c>
      <c r="E11" s="5">
        <f>IF(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&lt;10000,
0,
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)</f>
        <v>100000</v>
      </c>
      <c r="F11" s="5">
        <f>-PMT(G11,A11,E11,,0)</f>
        <v>3661.920000000001</v>
      </c>
      <c r="G11" s="7">
        <f>VLOOKUP(A11,$AR$1:$AU$6,4,0)</f>
        <v>3.0626330228657631E-2</v>
      </c>
      <c r="H11" s="23">
        <f t="shared" si="8"/>
        <v>2.6402008817808305E-2</v>
      </c>
      <c r="I11" s="7">
        <f>IFERROR(((M11-J11)/J11)/(A11),0)</f>
        <v>1.9952533333333345E-2</v>
      </c>
      <c r="J11" s="5">
        <f>E11</f>
        <v>100000</v>
      </c>
      <c r="K11" s="5">
        <f t="shared" si="9"/>
        <v>103202.75862068972</v>
      </c>
      <c r="L11" s="5">
        <f t="shared" si="10"/>
        <v>16512.441379310356</v>
      </c>
      <c r="M11" s="5">
        <f>F11*A11</f>
        <v>219715.20000000007</v>
      </c>
      <c r="N11" s="19"/>
      <c r="AS11" s="2"/>
      <c r="AT11" s="12"/>
    </row>
    <row r="12" spans="1:52" s="1" customFormat="1" x14ac:dyDescent="0.25">
      <c r="A12" s="19"/>
      <c r="B12" s="19"/>
      <c r="C12" s="19"/>
      <c r="D12" s="21" t="s">
        <v>7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AS12" s="2"/>
      <c r="AT12" s="12"/>
    </row>
    <row r="13" spans="1:52" s="1" customFormat="1" x14ac:dyDescent="0.25">
      <c r="A13" s="19"/>
      <c r="B13" s="19"/>
      <c r="C13" s="19"/>
      <c r="D13" s="21" t="s">
        <v>19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AS13" s="2"/>
      <c r="AT13" s="12"/>
    </row>
    <row r="14" spans="1:52" s="1" customFormat="1" x14ac:dyDescent="0.25">
      <c r="A14" s="19"/>
      <c r="B14" s="19"/>
      <c r="C14" s="19"/>
      <c r="D14" s="21"/>
      <c r="E14" s="19"/>
      <c r="F14" s="19"/>
      <c r="G14" s="19"/>
      <c r="H14" s="19"/>
      <c r="I14" s="19"/>
      <c r="J14" s="19"/>
      <c r="K14" s="19"/>
      <c r="L14" s="19"/>
      <c r="M14" s="19"/>
      <c r="N14" s="19"/>
      <c r="AS14" s="2"/>
      <c r="AT14" s="12"/>
    </row>
    <row r="15" spans="1:52" s="1" customFormat="1" x14ac:dyDescent="0.25">
      <c r="A15" s="19"/>
      <c r="B15" s="19"/>
      <c r="C15" s="19"/>
      <c r="D15" s="21"/>
      <c r="E15" s="19"/>
      <c r="F15" s="19"/>
      <c r="G15" s="19"/>
      <c r="H15" s="19"/>
      <c r="I15" s="19"/>
      <c r="J15" s="19"/>
      <c r="K15" s="19"/>
      <c r="L15" s="19"/>
      <c r="M15" s="19"/>
      <c r="N15" s="19"/>
      <c r="AS15" s="2"/>
      <c r="AT15" s="12"/>
    </row>
    <row r="16" spans="1:52" s="1" customFormat="1" x14ac:dyDescent="0.25">
      <c r="A16" s="19"/>
      <c r="B16" s="19"/>
      <c r="C16" s="19"/>
      <c r="D16" s="21"/>
      <c r="E16" s="19"/>
      <c r="F16" s="19"/>
      <c r="G16" s="19"/>
      <c r="H16" s="19"/>
      <c r="I16" s="19"/>
      <c r="J16" s="19"/>
      <c r="K16" s="19"/>
      <c r="L16" s="19"/>
      <c r="M16" s="19"/>
      <c r="N16" s="19"/>
      <c r="AS16" s="2"/>
      <c r="AT16" s="12"/>
    </row>
    <row r="17" spans="1:46" s="1" customFormat="1" x14ac:dyDescent="0.25">
      <c r="A17" s="19"/>
      <c r="B17" s="19"/>
      <c r="C17" s="19"/>
      <c r="D17" s="21"/>
      <c r="E17" s="19"/>
      <c r="F17" s="19"/>
      <c r="G17" s="19"/>
      <c r="H17" s="19"/>
      <c r="I17" s="19"/>
      <c r="J17" s="19"/>
      <c r="K17" s="19"/>
      <c r="L17" s="19"/>
      <c r="M17" s="19"/>
      <c r="N17" s="19"/>
      <c r="AS17" s="2"/>
      <c r="AT17" s="12"/>
    </row>
    <row r="18" spans="1:46" s="1" customFormat="1" x14ac:dyDescent="0.25">
      <c r="A18" s="19"/>
      <c r="B18" s="19"/>
      <c r="C18" s="19"/>
      <c r="D18" s="21"/>
      <c r="E18" s="19"/>
      <c r="F18" s="19"/>
      <c r="G18" s="19"/>
      <c r="H18" s="19"/>
      <c r="I18" s="19"/>
      <c r="J18" s="19"/>
      <c r="K18" s="19"/>
      <c r="L18" s="19"/>
      <c r="M18" s="19"/>
      <c r="N18" s="19"/>
      <c r="AS18" s="2"/>
      <c r="AT18" s="12"/>
    </row>
    <row r="19" spans="1:46" s="1" customFormat="1" x14ac:dyDescent="0.25">
      <c r="A19" s="19"/>
      <c r="B19" s="19"/>
      <c r="C19" s="19"/>
      <c r="D19" s="21"/>
      <c r="E19" s="19"/>
      <c r="F19" s="19"/>
      <c r="G19" s="19"/>
      <c r="H19" s="19"/>
      <c r="I19" s="19"/>
      <c r="J19" s="19"/>
      <c r="K19" s="19"/>
      <c r="L19" s="19"/>
      <c r="M19" s="19"/>
      <c r="N19" s="19"/>
      <c r="AS19" s="2"/>
      <c r="AT19" s="12"/>
    </row>
    <row r="20" spans="1:46" s="1" customFormat="1" x14ac:dyDescent="0.25">
      <c r="A20" s="19"/>
      <c r="B20" s="19"/>
      <c r="C20" s="19"/>
      <c r="D20" s="21"/>
      <c r="E20" s="19"/>
      <c r="F20" s="19"/>
      <c r="G20" s="19"/>
      <c r="H20" s="19"/>
      <c r="I20" s="19"/>
      <c r="J20" s="19"/>
      <c r="K20" s="19"/>
      <c r="L20" s="19"/>
      <c r="M20" s="19"/>
      <c r="N20" s="19"/>
      <c r="AS20" s="2"/>
      <c r="AT20" s="12"/>
    </row>
    <row r="21" spans="1:46" s="1" customFormat="1" x14ac:dyDescent="0.25">
      <c r="A21" s="19"/>
      <c r="B21" s="19"/>
      <c r="C21" s="19"/>
      <c r="D21" s="21"/>
      <c r="E21" s="19"/>
      <c r="F21" s="19"/>
      <c r="G21" s="19"/>
      <c r="H21" s="19"/>
      <c r="I21" s="19"/>
      <c r="J21" s="19"/>
      <c r="K21" s="19"/>
      <c r="L21" s="19"/>
      <c r="M21" s="19"/>
      <c r="N21" s="19"/>
      <c r="AS21" s="2"/>
      <c r="AT21" s="12"/>
    </row>
    <row r="22" spans="1:46" x14ac:dyDescent="0.25">
      <c r="A22" s="19"/>
      <c r="B22" s="19"/>
      <c r="C22" s="19"/>
      <c r="D22" s="21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46" x14ac:dyDescent="0.25">
      <c r="A23" s="19"/>
      <c r="B23" s="19"/>
      <c r="C23" s="19"/>
      <c r="D23" s="21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46" x14ac:dyDescent="0.25">
      <c r="A24" s="19"/>
      <c r="B24" s="19"/>
      <c r="C24" s="19"/>
      <c r="D24" s="21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46" x14ac:dyDescent="0.25">
      <c r="A25" s="19"/>
      <c r="B25" s="19"/>
      <c r="C25" s="19"/>
      <c r="D25" s="21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46" x14ac:dyDescent="0.25">
      <c r="A26" s="19"/>
      <c r="B26" s="19"/>
      <c r="C26" s="19"/>
      <c r="D26" s="21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46" x14ac:dyDescent="0.25">
      <c r="A27" s="19"/>
      <c r="B27" s="19"/>
      <c r="C27" s="19"/>
      <c r="D27" s="21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46" x14ac:dyDescent="0.25">
      <c r="B28" s="19"/>
      <c r="C28" s="19"/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46" x14ac:dyDescent="0.25">
      <c r="B29" s="19"/>
      <c r="C29" s="19"/>
      <c r="D29" s="21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46" x14ac:dyDescent="0.25">
      <c r="B30" s="19"/>
      <c r="C30" s="19"/>
      <c r="D30" s="21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6" x14ac:dyDescent="0.25">
      <c r="B31" s="19"/>
      <c r="C31" s="19"/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6" x14ac:dyDescent="0.25">
      <c r="B32" s="19"/>
      <c r="C32" s="19"/>
      <c r="D32" s="21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2:14" x14ac:dyDescent="0.25">
      <c r="B33" s="19"/>
      <c r="C33" s="19"/>
      <c r="D33" s="21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2:14" x14ac:dyDescent="0.25">
      <c r="B34" s="19"/>
      <c r="C34" s="19"/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2:14" x14ac:dyDescent="0.25">
      <c r="B35" s="19"/>
      <c r="C35" s="19"/>
      <c r="D35" s="21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14" x14ac:dyDescent="0.25">
      <c r="B36" s="19"/>
      <c r="C36" s="19"/>
      <c r="D36" s="21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5">
      <c r="B37" s="19"/>
      <c r="C37" s="19"/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2:14" x14ac:dyDescent="0.25">
      <c r="B38" s="19"/>
      <c r="C38" s="19"/>
      <c r="D38" s="21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2:14" x14ac:dyDescent="0.25">
      <c r="B39" s="19"/>
      <c r="C39" s="19"/>
      <c r="D39" s="21"/>
      <c r="E39" s="19"/>
      <c r="F39" s="19"/>
      <c r="G39" s="19"/>
      <c r="H39" s="19"/>
      <c r="I39" s="19"/>
      <c r="J39" s="19"/>
      <c r="K39" s="19"/>
      <c r="L39" s="19"/>
      <c r="M39" s="19"/>
      <c r="N39" s="19"/>
    </row>
  </sheetData>
  <sheetProtection algorithmName="SHA-512" hashValue="iQ8V4Ed+0YPIgghhx99xU8uehkr+drB0vwqipd/QlLH3uKV4gafyNBygtpLmQnzq3HI9cJrXZPGnf8YYeUO9zA==" saltValue="irNnwlpYvqTsm2cBOHtZ8Q==" spinCount="100000" sheet="1" objects="1" scenarios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4754-CSP PLEY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2026-05-12T20:20:14Z</dcterms:modified>
</cp:coreProperties>
</file>