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13_ncr:1_{24701855-BCC0-4AA7-B06D-12A4F8F4FAB5}" xr6:coauthVersionLast="47" xr6:coauthVersionMax="47" xr10:uidLastSave="{00000000-0000-0000-0000-000000000000}"/>
  <bookViews>
    <workbookView showVerticalScroll="0" xWindow="-120" yWindow="-120" windowWidth="20640" windowHeight="11040" xr2:uid="{00000000-000D-0000-FFFF-FFFF00000000}"/>
  </bookViews>
  <sheets>
    <sheet name="JUB 2.6577% CAT 43.96%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6" l="1"/>
  <c r="E9" i="6"/>
  <c r="AU4" i="6"/>
  <c r="AV4" i="6" s="1"/>
  <c r="AU3" i="6"/>
  <c r="AV3" i="6" s="1"/>
  <c r="AU2" i="6"/>
  <c r="AV2" i="6" s="1"/>
  <c r="E11" i="6" l="1"/>
  <c r="C11" i="6" l="1"/>
  <c r="C10" i="6"/>
  <c r="C9" i="6"/>
  <c r="J11" i="6" l="1"/>
  <c r="D11" i="6"/>
  <c r="J10" i="6"/>
  <c r="D10" i="6"/>
  <c r="J9" i="6"/>
  <c r="D9" i="6"/>
  <c r="D6" i="6"/>
  <c r="S5" i="6"/>
  <c r="T5" i="6" s="1"/>
  <c r="U5" i="6" s="1"/>
  <c r="V5" i="6" s="1"/>
  <c r="S4" i="6"/>
  <c r="T4" i="6" s="1"/>
  <c r="U4" i="6" s="1"/>
  <c r="V4" i="6" s="1"/>
  <c r="G10" i="6"/>
  <c r="S3" i="6"/>
  <c r="T3" i="6" s="1"/>
  <c r="U3" i="6" s="1"/>
  <c r="V3" i="6" s="1"/>
  <c r="S2" i="6"/>
  <c r="T2" i="6" s="1"/>
  <c r="U2" i="6" s="1"/>
  <c r="V2" i="6" s="1"/>
  <c r="G9" i="6" l="1"/>
  <c r="H9" i="6" s="1"/>
  <c r="H10" i="6"/>
  <c r="F10" i="6"/>
  <c r="M10" i="6" s="1"/>
  <c r="G11" i="6"/>
  <c r="F9" i="6" l="1"/>
  <c r="M9" i="6" s="1"/>
  <c r="K9" i="6" s="1"/>
  <c r="L9" i="6" s="1"/>
  <c r="H11" i="6"/>
  <c r="F11" i="6"/>
  <c r="M11" i="6" s="1"/>
  <c r="I10" i="6"/>
  <c r="K10" i="6"/>
  <c r="L10" i="6" s="1"/>
  <c r="I9" i="6" l="1"/>
  <c r="K11" i="6"/>
  <c r="L11" i="6" s="1"/>
  <c r="I11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G8" authorId="0" shapeId="0" xr:uid="{00000000-0006-0000-0000-000001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H8" authorId="0" shapeId="0" xr:uid="{00000000-0006-0000-0000-000002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sharedStrings.xml><?xml version="1.0" encoding="utf-8"?>
<sst xmlns="http://schemas.openxmlformats.org/spreadsheetml/2006/main" count="33" uniqueCount="30">
  <si>
    <t xml:space="preserve">Dependencia: </t>
  </si>
  <si>
    <t>Frecuencia:</t>
  </si>
  <si>
    <t>Mensual</t>
  </si>
  <si>
    <t>Plazo</t>
  </si>
  <si>
    <t>Capital</t>
  </si>
  <si>
    <t>*Calculo para fines informativos</t>
  </si>
  <si>
    <t>Calculo por:</t>
  </si>
  <si>
    <t>Tasa Global</t>
  </si>
  <si>
    <t>IVA</t>
  </si>
  <si>
    <t>PLAZO Q</t>
  </si>
  <si>
    <t>CAPITAL</t>
  </si>
  <si>
    <t>PAGO QUINCENAL</t>
  </si>
  <si>
    <t>TASA MENSUAL</t>
  </si>
  <si>
    <t>TASA QUINCENAL</t>
  </si>
  <si>
    <t>TASA SIN IVA</t>
  </si>
  <si>
    <t>TASA ANUAL</t>
  </si>
  <si>
    <t>*Las tasas globales e insolutas estan en terminos mensuales e incluyen el IVA.</t>
  </si>
  <si>
    <t>MONTO</t>
  </si>
  <si>
    <t>DESCUENTO</t>
  </si>
  <si>
    <t>Tasa C/IVA</t>
  </si>
  <si>
    <t>Tasa S/IVA</t>
  </si>
  <si>
    <t>Monto</t>
  </si>
  <si>
    <t>CAT con IVA</t>
  </si>
  <si>
    <t>Descuento</t>
  </si>
  <si>
    <t>CAT PORTAL</t>
  </si>
  <si>
    <t>Préstamo</t>
  </si>
  <si>
    <t>Interés</t>
  </si>
  <si>
    <t>Pagaré</t>
  </si>
  <si>
    <t>IMSS JUBILADO/MAS NOMINA</t>
  </si>
  <si>
    <r>
      <t xml:space="preserve">Condiciones:
Se puede utilizar para simulaciones de créditos nuevos, LQ-3 o compra intercompañias..
36 a 48 M, monto mínimo 15,000.
60 M, monto mínimo 10,000.
</t>
    </r>
    <r>
      <rPr>
        <b/>
        <sz val="6"/>
        <color rgb="FFFF0000"/>
        <rFont val="Calibri"/>
        <family val="2"/>
        <scheme val="minor"/>
      </rPr>
      <t>En casos de LQ-3, el CAT del crédito activo debe se mayor al 43.96%.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</si>
</sst>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[$-80A]General"/>
    <numFmt numFmtId="165" formatCode="0.0000%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6"/>
      <color rgb="FFFF0000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2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0" fillId="4" borderId="0" xfId="0" applyFill="1" applyProtection="1"/>
    <xf numFmtId="0" fontId="0" fillId="3" borderId="0" xfId="0" applyFill="1" applyProtection="1"/>
    <xf numFmtId="0" fontId="0" fillId="4" borderId="0" xfId="0" applyFont="1" applyFill="1" applyProtection="1"/>
    <xf numFmtId="0" fontId="0" fillId="2" borderId="0" xfId="0" applyFill="1" applyAlignment="1" applyProtection="1">
      <alignment horizontal="center"/>
    </xf>
    <xf numFmtId="44" fontId="0" fillId="2" borderId="0" xfId="0" applyNumberFormat="1" applyFill="1" applyAlignment="1" applyProtection="1">
      <alignment horizontal="center"/>
    </xf>
    <xf numFmtId="0" fontId="0" fillId="0" borderId="0" xfId="0" applyProtection="1"/>
    <xf numFmtId="10" fontId="0" fillId="2" borderId="0" xfId="0" applyNumberFormat="1" applyFill="1" applyAlignment="1" applyProtection="1">
      <alignment horizontal="center"/>
    </xf>
    <xf numFmtId="0" fontId="0" fillId="4" borderId="0" xfId="0" applyFont="1" applyFill="1" applyBorder="1" applyProtection="1"/>
    <xf numFmtId="10" fontId="0" fillId="4" borderId="0" xfId="0" applyNumberFormat="1" applyFill="1" applyProtection="1"/>
    <xf numFmtId="10" fontId="0" fillId="4" borderId="0" xfId="2" applyNumberFormat="1" applyFont="1" applyFill="1" applyProtection="1"/>
    <xf numFmtId="8" fontId="0" fillId="4" borderId="0" xfId="0" applyNumberFormat="1" applyFont="1" applyFill="1" applyProtection="1"/>
    <xf numFmtId="8" fontId="0" fillId="4" borderId="0" xfId="0" applyNumberFormat="1" applyFill="1" applyProtection="1"/>
    <xf numFmtId="0" fontId="4" fillId="4" borderId="0" xfId="0" applyFont="1" applyFill="1" applyAlignment="1" applyProtection="1">
      <alignment horizontal="center"/>
      <protection locked="0"/>
    </xf>
    <xf numFmtId="44" fontId="7" fillId="0" borderId="0" xfId="0" applyNumberFormat="1" applyFont="1" applyAlignment="1" applyProtection="1">
      <alignment horizontal="center"/>
      <protection locked="0"/>
    </xf>
    <xf numFmtId="8" fontId="0" fillId="0" borderId="0" xfId="0" applyNumberFormat="1" applyProtection="1"/>
    <xf numFmtId="4" fontId="0" fillId="0" borderId="0" xfId="0" applyNumberFormat="1"/>
    <xf numFmtId="0" fontId="0" fillId="5" borderId="0" xfId="0" applyFill="1" applyProtection="1"/>
    <xf numFmtId="0" fontId="1" fillId="5" borderId="0" xfId="0" applyFont="1" applyFill="1" applyAlignment="1" applyProtection="1">
      <alignment horizontal="center"/>
    </xf>
    <xf numFmtId="0" fontId="5" fillId="5" borderId="0" xfId="0" applyFont="1" applyFill="1" applyProtection="1"/>
    <xf numFmtId="0" fontId="1" fillId="6" borderId="0" xfId="0" applyFont="1" applyFill="1" applyAlignment="1" applyProtection="1">
      <alignment horizontal="center"/>
    </xf>
    <xf numFmtId="165" fontId="0" fillId="2" borderId="0" xfId="0" applyNumberFormat="1" applyFill="1" applyAlignment="1" applyProtection="1">
      <alignment horizontal="center"/>
    </xf>
    <xf numFmtId="0" fontId="1" fillId="5" borderId="0" xfId="0" applyFont="1" applyFill="1" applyAlignment="1" applyProtection="1">
      <alignment horizontal="center"/>
    </xf>
    <xf numFmtId="0" fontId="4" fillId="4" borderId="0" xfId="0" applyFont="1" applyFill="1" applyAlignment="1" applyProtection="1">
      <alignment horizontal="center"/>
    </xf>
    <xf numFmtId="0" fontId="9" fillId="4" borderId="0" xfId="0" applyFont="1" applyFill="1" applyAlignment="1" applyProtection="1">
      <alignment horizontal="center" vertical="center" wrapText="1"/>
      <protection hidden="1"/>
    </xf>
    <xf numFmtId="8" fontId="0" fillId="4" borderId="0" xfId="0" applyNumberFormat="1" applyFill="1"/>
    <xf numFmtId="165" fontId="0" fillId="4" borderId="0" xfId="0" applyNumberFormat="1" applyFill="1" applyProtection="1"/>
  </cellXfs>
  <cellStyles count="3">
    <cellStyle name="Excel Built-in Normal" xfId="1" xr:uid="{00000000-0005-0000-0000-000000000000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9"/>
  <sheetViews>
    <sheetView showGridLines="0" tabSelected="1" topLeftCell="B1" zoomScale="130" zoomScaleNormal="130" workbookViewId="0">
      <selection activeCell="F4" sqref="F4"/>
    </sheetView>
  </sheetViews>
  <sheetFormatPr baseColWidth="10" defaultRowHeight="15" x14ac:dyDescent="0.25"/>
  <cols>
    <col min="1" max="1" width="3.28515625" style="6" hidden="1" customWidth="1"/>
    <col min="2" max="2" width="4.42578125" style="6" customWidth="1"/>
    <col min="3" max="3" width="11.5703125" style="6" bestFit="1" customWidth="1"/>
    <col min="4" max="4" width="11.42578125" style="6"/>
    <col min="5" max="5" width="14.42578125" style="6" bestFit="1" customWidth="1"/>
    <col min="6" max="6" width="17.42578125" style="6" bestFit="1" customWidth="1"/>
    <col min="7" max="7" width="13.5703125" style="6" bestFit="1" customWidth="1"/>
    <col min="8" max="8" width="11.140625" style="6" bestFit="1" customWidth="1"/>
    <col min="9" max="9" width="14.42578125" style="6" bestFit="1" customWidth="1"/>
    <col min="10" max="10" width="15.7109375" style="6" customWidth="1"/>
    <col min="11" max="11" width="16.140625" style="6" customWidth="1"/>
    <col min="12" max="13" width="18.28515625" style="6" customWidth="1"/>
    <col min="14" max="15" width="11.42578125" style="6"/>
    <col min="16" max="21" width="0" style="6" hidden="1" customWidth="1"/>
    <col min="22" max="22" width="13.140625" style="6" hidden="1" customWidth="1"/>
    <col min="23" max="43" width="11.42578125" style="6"/>
    <col min="44" max="44" width="8.5703125" style="6" bestFit="1" customWidth="1"/>
    <col min="45" max="45" width="13.7109375" style="15" bestFit="1" customWidth="1"/>
    <col min="46" max="46" width="11.5703125" style="15" bestFit="1" customWidth="1"/>
    <col min="47" max="47" width="14.5703125" style="6" bestFit="1" customWidth="1"/>
    <col min="48" max="48" width="12.5703125" style="6" bestFit="1" customWidth="1"/>
    <col min="49" max="16384" width="11.42578125" style="6"/>
  </cols>
  <sheetData>
    <row r="1" spans="1:49" s="1" customFormat="1" x14ac:dyDescent="0.25">
      <c r="A1" s="2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  <c r="P1" s="3" t="s">
        <v>9</v>
      </c>
      <c r="Q1" s="1" t="s">
        <v>10</v>
      </c>
      <c r="R1" s="1" t="s">
        <v>11</v>
      </c>
      <c r="S1" s="1" t="s">
        <v>13</v>
      </c>
      <c r="T1" s="1" t="s">
        <v>12</v>
      </c>
      <c r="U1" s="1" t="s">
        <v>14</v>
      </c>
      <c r="V1" s="1" t="s">
        <v>15</v>
      </c>
      <c r="AR1" s="3" t="s">
        <v>9</v>
      </c>
      <c r="AS1" s="11" t="s">
        <v>17</v>
      </c>
      <c r="AT1" s="11" t="s">
        <v>18</v>
      </c>
      <c r="AU1" s="1" t="s">
        <v>12</v>
      </c>
      <c r="AV1" s="1" t="s">
        <v>14</v>
      </c>
      <c r="AW1" s="1" t="s">
        <v>24</v>
      </c>
    </row>
    <row r="2" spans="1:49" s="1" customFormat="1" x14ac:dyDescent="0.25">
      <c r="A2" s="2"/>
      <c r="B2" s="17"/>
      <c r="C2" s="17"/>
      <c r="D2" s="22" t="s">
        <v>0</v>
      </c>
      <c r="E2" s="22"/>
      <c r="F2" s="23" t="s">
        <v>28</v>
      </c>
      <c r="G2" s="23"/>
      <c r="H2" s="23"/>
      <c r="I2" s="17"/>
      <c r="J2" s="17"/>
      <c r="K2" s="17"/>
      <c r="L2" s="17"/>
      <c r="M2" s="17"/>
      <c r="N2" s="17"/>
      <c r="O2" s="3"/>
      <c r="P2" s="8">
        <v>24</v>
      </c>
      <c r="Q2" s="11">
        <v>497000</v>
      </c>
      <c r="R2" s="12">
        <v>25850.25</v>
      </c>
      <c r="S2" s="9">
        <f>RATE(P2,-R2,Q2,0,0)</f>
        <v>1.8560002435494275E-2</v>
      </c>
      <c r="T2" s="10">
        <f>S2*2</f>
        <v>3.712000487098855E-2</v>
      </c>
      <c r="U2" s="10">
        <f>T2/1.16</f>
        <v>3.200000419912806E-2</v>
      </c>
      <c r="V2" s="10">
        <f>U2*12</f>
        <v>0.38400005038953672</v>
      </c>
      <c r="AR2" s="1">
        <v>36</v>
      </c>
      <c r="AS2" s="25">
        <v>250000</v>
      </c>
      <c r="AT2" s="16">
        <v>11593.11</v>
      </c>
      <c r="AU2" s="9">
        <f t="shared" ref="AU2" si="0">RATE(AR2,-AT2,AS2,0,0)</f>
        <v>3.0829453922564014E-2</v>
      </c>
      <c r="AV2" s="26">
        <f t="shared" ref="AV2" si="1">AU2/1.16</f>
        <v>2.657711545048622E-2</v>
      </c>
      <c r="AW2" s="9">
        <v>0.43959999999999999</v>
      </c>
    </row>
    <row r="3" spans="1:49" s="1" customFormat="1" x14ac:dyDescent="0.25">
      <c r="A3" s="2"/>
      <c r="B3" s="17"/>
      <c r="C3" s="17"/>
      <c r="D3" s="22" t="s">
        <v>1</v>
      </c>
      <c r="E3" s="22"/>
      <c r="F3" s="18" t="s">
        <v>2</v>
      </c>
      <c r="G3" s="17"/>
      <c r="H3" s="17"/>
      <c r="I3" s="17"/>
      <c r="J3" s="17"/>
      <c r="K3" s="17"/>
      <c r="L3" s="17"/>
      <c r="M3" s="17"/>
      <c r="N3" s="17"/>
      <c r="O3" s="3"/>
      <c r="P3" s="8">
        <v>48</v>
      </c>
      <c r="Q3" s="11">
        <v>497000</v>
      </c>
      <c r="R3" s="11">
        <v>15732</v>
      </c>
      <c r="S3" s="9">
        <f t="shared" ref="S3:S5" si="2">RATE(P3,-R3,Q3,0,0)</f>
        <v>1.8559989355188038E-2</v>
      </c>
      <c r="T3" s="10">
        <f t="shared" ref="T3:T5" si="3">S3*2</f>
        <v>3.7119978710376075E-2</v>
      </c>
      <c r="U3" s="10">
        <f t="shared" ref="U3:U5" si="4">T3/1.16</f>
        <v>3.1999981646875932E-2</v>
      </c>
      <c r="V3" s="10">
        <f t="shared" ref="V3:V5" si="5">U3*12</f>
        <v>0.38399977976251121</v>
      </c>
      <c r="AR3" s="1">
        <v>48</v>
      </c>
      <c r="AS3" s="25">
        <v>250000</v>
      </c>
      <c r="AT3" s="16">
        <v>10046.44</v>
      </c>
      <c r="AU3" s="9">
        <f>RATE(AR3,-AT3,AS3,0,0)</f>
        <v>3.0829436912861729E-2</v>
      </c>
      <c r="AV3" s="26">
        <f>AU3/1.16</f>
        <v>2.6577100786949769E-2</v>
      </c>
      <c r="AW3" s="9">
        <v>0.43959999999999999</v>
      </c>
    </row>
    <row r="4" spans="1:49" s="1" customFormat="1" ht="15" customHeight="1" x14ac:dyDescent="0.25">
      <c r="A4" s="2"/>
      <c r="B4" s="17"/>
      <c r="C4" s="17"/>
      <c r="D4" s="22" t="s">
        <v>6</v>
      </c>
      <c r="E4" s="22"/>
      <c r="F4" s="13" t="s">
        <v>21</v>
      </c>
      <c r="G4" s="17"/>
      <c r="H4" s="24" t="s">
        <v>29</v>
      </c>
      <c r="I4" s="24"/>
      <c r="J4" s="24"/>
      <c r="K4" s="24"/>
      <c r="L4" s="17"/>
      <c r="M4" s="17"/>
      <c r="N4" s="17"/>
      <c r="O4" s="3"/>
      <c r="P4" s="8">
        <v>72</v>
      </c>
      <c r="Q4" s="11">
        <v>497000</v>
      </c>
      <c r="R4" s="11">
        <v>12568.05</v>
      </c>
      <c r="S4" s="9">
        <f t="shared" si="2"/>
        <v>1.855999177746296E-2</v>
      </c>
      <c r="T4" s="10">
        <f t="shared" si="3"/>
        <v>3.711998355492592E-2</v>
      </c>
      <c r="U4" s="10">
        <f t="shared" si="4"/>
        <v>3.1999985823212E-2</v>
      </c>
      <c r="V4" s="10">
        <f t="shared" si="5"/>
        <v>0.38399982987854397</v>
      </c>
      <c r="AR4" s="1">
        <v>60</v>
      </c>
      <c r="AS4" s="25">
        <v>250000</v>
      </c>
      <c r="AT4" s="16">
        <v>9194.3700000000008</v>
      </c>
      <c r="AU4" s="9">
        <f>RATE(AR4,-AT4,AS4,0,0)</f>
        <v>3.0829454883708512E-2</v>
      </c>
      <c r="AV4" s="26">
        <f>AU4/1.16</f>
        <v>2.6577116279059065E-2</v>
      </c>
      <c r="AW4" s="9">
        <v>0.43959999999999999</v>
      </c>
    </row>
    <row r="5" spans="1:49" s="1" customFormat="1" ht="15" customHeight="1" x14ac:dyDescent="0.25">
      <c r="A5" s="2"/>
      <c r="B5" s="17"/>
      <c r="C5" s="17"/>
      <c r="D5" s="17"/>
      <c r="E5" s="17"/>
      <c r="F5" s="17"/>
      <c r="G5" s="17"/>
      <c r="H5" s="24"/>
      <c r="I5" s="24"/>
      <c r="J5" s="24"/>
      <c r="K5" s="24"/>
      <c r="L5" s="17"/>
      <c r="M5" s="17"/>
      <c r="N5" s="17"/>
      <c r="P5" s="8">
        <v>96</v>
      </c>
      <c r="Q5" s="11">
        <v>497000</v>
      </c>
      <c r="R5" s="11">
        <v>11128.57</v>
      </c>
      <c r="S5" s="9">
        <f t="shared" si="2"/>
        <v>1.8559997634293605E-2</v>
      </c>
      <c r="T5" s="10">
        <f t="shared" si="3"/>
        <v>3.7119995268587211E-2</v>
      </c>
      <c r="U5" s="10">
        <f t="shared" si="4"/>
        <v>3.1999995921195873E-2</v>
      </c>
      <c r="V5" s="10">
        <f t="shared" si="5"/>
        <v>0.38399995105435047</v>
      </c>
      <c r="AS5" s="12"/>
      <c r="AT5" s="16"/>
      <c r="AU5" s="9"/>
      <c r="AV5" s="9"/>
      <c r="AW5" s="9"/>
    </row>
    <row r="6" spans="1:49" s="1" customFormat="1" ht="18.75" x14ac:dyDescent="0.3">
      <c r="A6" s="2"/>
      <c r="B6" s="17"/>
      <c r="C6" s="17"/>
      <c r="D6" s="22" t="str">
        <f>IF(F4="MONTO","Ingrese el Monto:","Ingrese la capacidad:")</f>
        <v>Ingrese el Monto:</v>
      </c>
      <c r="E6" s="22"/>
      <c r="F6" s="14">
        <v>100000</v>
      </c>
      <c r="G6" s="17"/>
      <c r="H6" s="24"/>
      <c r="I6" s="24"/>
      <c r="J6" s="24"/>
      <c r="K6" s="24"/>
      <c r="L6" s="17"/>
      <c r="M6" s="17"/>
      <c r="N6" s="17"/>
      <c r="P6" s="3"/>
      <c r="Q6" s="3"/>
      <c r="R6" s="3"/>
      <c r="AS6" s="12"/>
      <c r="AT6" s="12"/>
      <c r="AU6" s="9"/>
      <c r="AV6" s="9"/>
    </row>
    <row r="7" spans="1:49" s="1" customFormat="1" x14ac:dyDescent="0.25">
      <c r="A7" s="2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49" s="1" customFormat="1" x14ac:dyDescent="0.25">
      <c r="A8" s="2"/>
      <c r="B8" s="17"/>
      <c r="C8" s="20" t="s">
        <v>22</v>
      </c>
      <c r="D8" s="20" t="s">
        <v>3</v>
      </c>
      <c r="E8" s="20" t="s">
        <v>25</v>
      </c>
      <c r="F8" s="20" t="s">
        <v>23</v>
      </c>
      <c r="G8" s="20" t="s">
        <v>19</v>
      </c>
      <c r="H8" s="20" t="s">
        <v>20</v>
      </c>
      <c r="I8" s="20" t="s">
        <v>7</v>
      </c>
      <c r="J8" s="20" t="s">
        <v>4</v>
      </c>
      <c r="K8" s="20" t="s">
        <v>26</v>
      </c>
      <c r="L8" s="20" t="s">
        <v>8</v>
      </c>
      <c r="M8" s="20" t="s">
        <v>27</v>
      </c>
      <c r="N8" s="17"/>
    </row>
    <row r="9" spans="1:49" s="1" customFormat="1" x14ac:dyDescent="0.25">
      <c r="A9" s="2">
        <v>36</v>
      </c>
      <c r="B9" s="17"/>
      <c r="C9" s="7">
        <f t="shared" ref="C9:C11" si="6">VLOOKUP(A9,$AR$1:$AW$5,6,0)</f>
        <v>0.43959999999999999</v>
      </c>
      <c r="D9" s="4" t="str">
        <f t="shared" ref="D9:D11" si="7">CONCATENATE(A9," M")</f>
        <v>36 M</v>
      </c>
      <c r="E9" s="5">
        <f>IF(IF($F$4="MONTO",IF((IF(MOD($F$6,500)=0,$F$6,$F$6-MOD($F$6,500)))&gt;1000000,1000000,IF(MOD($F$6,500)=0,$F$6,$F$6-MOD($F$6,500))),IF(((1-(1+(G9))^(-A9))/((G9)))*$F$6&gt;1000000,1000000,IF(MOD(((1-(1+(G9))^(-A9))/(G9))*$F$6,500)=0,((1-(1+(G9))^(-A9))/((G9)))*$F$6,((1-(1+(G9))^(-A9))/((G9)))*$F$6-MOD(((1-(1+(G9))^(-A9))/((G9)))*$F$6,500))))&lt;15000,
0,
IF($F$4="MONTO",IF((IF(MOD($F$6,500)=0,$F$6,$F$6-MOD($F$6,500)))&gt;1000000,1000000,IF(MOD($F$6,500)=0,$F$6,$F$6-MOD($F$6,500))),IF(((1-(1+(G9))^(-A9))/((G9)))*$F$6&gt;1000000,1000000,IF(MOD(((1-(1+(G9))^(-A9))/(G9))*$F$6,500)=0,((1-(1+(G9))^(-A9))/((G9)))*$F$6,((1-(1+(G9))^(-A9))/((G9)))*$F$6-MOD(((1-(1+(G9))^(-A9))/((G9)))*$F$6,500)))))</f>
        <v>100000</v>
      </c>
      <c r="F9" s="5">
        <f>-PMT(G9,A9,E9,,0)</f>
        <v>4637.2440000001025</v>
      </c>
      <c r="G9" s="7">
        <f>VLOOKUP(A9,$AR$1:$AU$6,4,0)</f>
        <v>3.0829453922564014E-2</v>
      </c>
      <c r="H9" s="21">
        <f t="shared" ref="H9:H11" si="8">G9/1.16</f>
        <v>2.657711545048622E-2</v>
      </c>
      <c r="I9" s="7">
        <f>IFERROR(((M9-J9)/J9)/(A9),0)</f>
        <v>1.8594662222223245E-2</v>
      </c>
      <c r="J9" s="5">
        <f>E9</f>
        <v>100000</v>
      </c>
      <c r="K9" s="5">
        <f t="shared" ref="K9:K11" si="9">(M9-J9)/1.16</f>
        <v>57707.572413796282</v>
      </c>
      <c r="L9" s="5">
        <f t="shared" ref="L9:L11" si="10">K9*16%</f>
        <v>9233.2115862074061</v>
      </c>
      <c r="M9" s="5">
        <f>F9*A9</f>
        <v>166940.78400000368</v>
      </c>
      <c r="N9" s="17"/>
    </row>
    <row r="10" spans="1:49" s="1" customFormat="1" x14ac:dyDescent="0.25">
      <c r="A10" s="2">
        <v>48</v>
      </c>
      <c r="B10" s="17"/>
      <c r="C10" s="7">
        <f t="shared" si="6"/>
        <v>0.43959999999999999</v>
      </c>
      <c r="D10" s="4" t="str">
        <f t="shared" si="7"/>
        <v>48 M</v>
      </c>
      <c r="E10" s="5">
        <f>IF(IF($F$4="MONTO",IF((IF(MOD($F$6,500)=0,$F$6,$F$6-MOD($F$6,500)))&gt;1000000,1000000,IF(MOD($F$6,500)=0,$F$6,$F$6-MOD($F$6,500))),IF(((1-(1+(G10))^(-A10))/((G10)))*$F$6&gt;1000000,1000000,IF(MOD(((1-(1+(G10))^(-A10))/(G10))*$F$6,500)=0,((1-(1+(G10))^(-A10))/((G10)))*$F$6,((1-(1+(G10))^(-A10))/((G10)))*$F$6-MOD(((1-(1+(G10))^(-A10))/((G10)))*$F$6,500))))&lt;15000,
0,
IF($F$4="MONTO",IF((IF(MOD($F$6,500)=0,$F$6,$F$6-MOD($F$6,500)))&gt;1000000,1000000,IF(MOD($F$6,500)=0,$F$6,$F$6-MOD($F$6,500))),IF(((1-(1+(G10))^(-A10))/((G10)))*$F$6&gt;1000000,1000000,IF(MOD(((1-(1+(G10))^(-A10))/(G10))*$F$6,500)=0,((1-(1+(G10))^(-A10))/((G10)))*$F$6,((1-(1+(G10))^(-A10))/((G10)))*$F$6-MOD(((1-(1+(G10))^(-A10))/((G10)))*$F$6,500)))))</f>
        <v>100000</v>
      </c>
      <c r="F10" s="5">
        <f>-PMT(G10,A10,E10,,0)</f>
        <v>4018.5760000000041</v>
      </c>
      <c r="G10" s="7">
        <f>VLOOKUP(A10,$AR$1:$AU$6,4,0)</f>
        <v>3.0829436912861729E-2</v>
      </c>
      <c r="H10" s="21">
        <f t="shared" si="8"/>
        <v>2.6577100786949769E-2</v>
      </c>
      <c r="I10" s="7">
        <f>IFERROR(((M10-J10)/J10)/(A10),0)</f>
        <v>1.9352426666666707E-2</v>
      </c>
      <c r="J10" s="5">
        <f>E10</f>
        <v>100000</v>
      </c>
      <c r="K10" s="5">
        <f t="shared" si="9"/>
        <v>80079.006896551888</v>
      </c>
      <c r="L10" s="5">
        <f t="shared" si="10"/>
        <v>12812.641103448303</v>
      </c>
      <c r="M10" s="5">
        <f>F10*A10</f>
        <v>192891.64800000019</v>
      </c>
      <c r="N10" s="17"/>
    </row>
    <row r="11" spans="1:49" s="1" customFormat="1" x14ac:dyDescent="0.25">
      <c r="A11" s="2">
        <v>60</v>
      </c>
      <c r="B11" s="17"/>
      <c r="C11" s="7">
        <f t="shared" si="6"/>
        <v>0.43959999999999999</v>
      </c>
      <c r="D11" s="4" t="str">
        <f t="shared" si="7"/>
        <v>60 M</v>
      </c>
      <c r="E11" s="5">
        <f>IF(IF($F$4="MONTO",IF((IF(MOD($F$6,500)=0,$F$6,$F$6-MOD($F$6,500)))&gt;1000000,1000000,IF(MOD($F$6,500)=0,$F$6,$F$6-MOD($F$6,500))),IF(((1-(1+(G11))^(-A11))/((G11)))*$F$6&gt;1000000,1000000,IF(MOD(((1-(1+(G11))^(-A11))/(G11))*$F$6,500)=0,((1-(1+(G11))^(-A11))/((G11)))*$F$6,((1-(1+(G11))^(-A11))/((G11)))*$F$6-MOD(((1-(1+(G11))^(-A11))/((G11)))*$F$6,500))))&lt;10000,
0,
IF($F$4="MONTO",IF((IF(MOD($F$6,500)=0,$F$6,$F$6-MOD($F$6,500)))&gt;1000000,1000000,IF(MOD($F$6,500)=0,$F$6,$F$6-MOD($F$6,500))),IF(((1-(1+(G11))^(-A11))/((G11)))*$F$6&gt;1000000,1000000,IF(MOD(((1-(1+(G11))^(-A11))/(G11))*$F$6,500)=0,((1-(1+(G11))^(-A11))/((G11)))*$F$6,((1-(1+(G11))^(-A11))/((G11)))*$F$6-MOD(((1-(1+(G11))^(-A11))/((G11)))*$F$6,500)))))</f>
        <v>100000</v>
      </c>
      <c r="F11" s="5">
        <f>-PMT(G11,A11,E11,,0)</f>
        <v>3677.7479999999969</v>
      </c>
      <c r="G11" s="7">
        <f>VLOOKUP(A11,$AR$1:$AU$6,4,0)</f>
        <v>3.0829454883708512E-2</v>
      </c>
      <c r="H11" s="21">
        <f t="shared" si="8"/>
        <v>2.6577116279059065E-2</v>
      </c>
      <c r="I11" s="7">
        <f>IFERROR(((M11-J11)/J11)/(A11),0)</f>
        <v>2.01108133333333E-2</v>
      </c>
      <c r="J11" s="5">
        <f>E11</f>
        <v>100000</v>
      </c>
      <c r="K11" s="5">
        <f t="shared" si="9"/>
        <v>104021.4482758619</v>
      </c>
      <c r="L11" s="5">
        <f t="shared" si="10"/>
        <v>16643.431724137903</v>
      </c>
      <c r="M11" s="5">
        <f>F11*A11</f>
        <v>220664.8799999998</v>
      </c>
      <c r="N11" s="17"/>
      <c r="AS11" s="12"/>
      <c r="AT11" s="12"/>
    </row>
    <row r="12" spans="1:49" s="1" customFormat="1" x14ac:dyDescent="0.25">
      <c r="A12" s="2"/>
      <c r="B12" s="17"/>
      <c r="C12" s="17"/>
      <c r="D12" s="19" t="s">
        <v>5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AS12" s="12"/>
      <c r="AT12" s="12"/>
    </row>
    <row r="13" spans="1:49" s="1" customFormat="1" x14ac:dyDescent="0.25">
      <c r="A13" s="2"/>
      <c r="B13" s="17"/>
      <c r="C13" s="17"/>
      <c r="D13" s="19" t="s">
        <v>16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AS13" s="12"/>
      <c r="AT13" s="12"/>
    </row>
    <row r="14" spans="1:49" s="1" customFormat="1" x14ac:dyDescent="0.25">
      <c r="B14" s="17"/>
      <c r="C14" s="17"/>
      <c r="D14" s="19"/>
      <c r="E14" s="17"/>
      <c r="F14" s="17"/>
      <c r="G14" s="17"/>
      <c r="H14" s="17"/>
      <c r="I14" s="17"/>
      <c r="J14" s="17"/>
      <c r="K14" s="17"/>
      <c r="L14" s="17"/>
      <c r="M14" s="17"/>
      <c r="N14" s="17"/>
      <c r="AS14" s="12"/>
      <c r="AT14" s="12"/>
    </row>
    <row r="15" spans="1:49" s="1" customFormat="1" x14ac:dyDescent="0.25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AS15" s="12"/>
      <c r="AT15" s="12"/>
    </row>
    <row r="16" spans="1:49" s="1" customFormat="1" x14ac:dyDescent="0.25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AS16" s="12"/>
      <c r="AT16" s="12"/>
    </row>
    <row r="17" spans="2:46" s="1" customFormat="1" x14ac:dyDescent="0.2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AS17" s="12"/>
      <c r="AT17" s="12"/>
    </row>
    <row r="18" spans="2:46" s="1" customFormat="1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AS18" s="12"/>
      <c r="AT18" s="12"/>
    </row>
    <row r="19" spans="2:46" s="1" customFormat="1" x14ac:dyDescent="0.2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AS19" s="12"/>
      <c r="AT19" s="12"/>
    </row>
    <row r="20" spans="2:46" s="1" customFormat="1" x14ac:dyDescent="0.2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AS20" s="12"/>
      <c r="AT20" s="12"/>
    </row>
    <row r="21" spans="2:46" s="1" customFormat="1" x14ac:dyDescent="0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AS21" s="12"/>
      <c r="AT21" s="12"/>
    </row>
    <row r="22" spans="2:46" x14ac:dyDescent="0.2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2:46" x14ac:dyDescent="0.2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2:46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2:46" x14ac:dyDescent="0.2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2:46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2:46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2:46" x14ac:dyDescent="0.2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2:46" x14ac:dyDescent="0.2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2:46" x14ac:dyDescent="0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2:46" x14ac:dyDescent="0.25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2:46" x14ac:dyDescent="0.2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2:14" x14ac:dyDescent="0.2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2:14" x14ac:dyDescent="0.2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2:14" x14ac:dyDescent="0.25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2:14" x14ac:dyDescent="0.25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x14ac:dyDescent="0.25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2:14" x14ac:dyDescent="0.25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2:14" x14ac:dyDescent="0.2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</sheetData>
  <sheetProtection algorithmName="SHA-512" hashValue="DPRVxY2vQcVAKXcjwyy6Aj2Z4ASmBFD5becYQiVVEtsjqA+phAJhyKxqdrzJomLum/AADzENcxY70tagaZ2luA==" saltValue="psTw4qKZzKNSjq66XPA/8A==" spinCount="100000" sheet="1" objects="1" scenarios="1" selectLockedCells="1"/>
  <mergeCells count="6">
    <mergeCell ref="D2:E2"/>
    <mergeCell ref="F2:H2"/>
    <mergeCell ref="D3:E3"/>
    <mergeCell ref="D4:E4"/>
    <mergeCell ref="D6:E6"/>
    <mergeCell ref="H4:K6"/>
  </mergeCells>
  <dataValidations count="2">
    <dataValidation type="custom" allowBlank="1" showInputMessage="1" showErrorMessage="1" sqref="F6" xr:uid="{00000000-0002-0000-0000-000000000000}">
      <formula1>F6&gt;=0</formula1>
    </dataValidation>
    <dataValidation type="list" allowBlank="1" showInputMessage="1" showErrorMessage="1" sqref="F4" xr:uid="{00000000-0002-0000-0000-000001000000}">
      <formula1>"Monto, Capacidad"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JUB 2.6577% CAT 43.96%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dcterms:created xsi:type="dcterms:W3CDTF">2022-04-20T16:01:06Z</dcterms:created>
  <dcterms:modified xsi:type="dcterms:W3CDTF">2026-05-12T19:41:33Z</dcterms:modified>
</cp:coreProperties>
</file>