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4F87C3D5-3926-4871-80D0-ACC2D6AE20A1}" xr6:coauthVersionLast="47" xr6:coauthVersionMax="47" xr10:uidLastSave="{00000000-0000-0000-0000-000000000000}"/>
  <bookViews>
    <workbookView showVerticalScroll="0" xWindow="-120" yWindow="-120" windowWidth="20640" windowHeight="11040" xr2:uid="{00000000-000D-0000-FFFF-FFFF00000000}"/>
  </bookViews>
  <sheets>
    <sheet name="PLEY 2.6577% CAT 43.96%" sheetId="6" r:id="rId1"/>
    <sheet name="TASA ESPECIAL 2.40% CAT 39.03%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2" i="6" l="1"/>
  <c r="AV2" i="6" s="1"/>
  <c r="AU3" i="6"/>
  <c r="AV3" i="6" s="1"/>
  <c r="AU4" i="6"/>
  <c r="AV4" i="6" s="1"/>
  <c r="C11" i="6" l="1"/>
  <c r="C10" i="6"/>
  <c r="C9" i="6"/>
  <c r="D13" i="7" l="1"/>
  <c r="I13" i="7" s="1"/>
  <c r="C10" i="7"/>
  <c r="Z1" i="7"/>
  <c r="AA1" i="7" s="1"/>
  <c r="F13" i="7" l="1"/>
  <c r="G13" i="7" l="1"/>
  <c r="E13" i="7"/>
  <c r="L13" i="7" s="1"/>
  <c r="J13" i="7" l="1"/>
  <c r="K13" i="7" s="1"/>
  <c r="H13" i="7"/>
  <c r="D11" i="6" l="1"/>
  <c r="D10" i="6"/>
  <c r="D9" i="6"/>
  <c r="D6" i="6"/>
  <c r="S5" i="6"/>
  <c r="T5" i="6" s="1"/>
  <c r="U5" i="6" s="1"/>
  <c r="V5" i="6" s="1"/>
  <c r="S4" i="6"/>
  <c r="T4" i="6" s="1"/>
  <c r="U4" i="6" s="1"/>
  <c r="V4" i="6" s="1"/>
  <c r="G10" i="6"/>
  <c r="S3" i="6"/>
  <c r="T3" i="6" s="1"/>
  <c r="U3" i="6" s="1"/>
  <c r="V3" i="6" s="1"/>
  <c r="S2" i="6"/>
  <c r="T2" i="6" s="1"/>
  <c r="U2" i="6" s="1"/>
  <c r="V2" i="6" s="1"/>
  <c r="E10" i="6" l="1"/>
  <c r="J10" i="6" s="1"/>
  <c r="G9" i="6"/>
  <c r="E9" i="6" s="1"/>
  <c r="H10" i="6"/>
  <c r="G11" i="6"/>
  <c r="E11" i="6" s="1"/>
  <c r="J11" i="6" s="1"/>
  <c r="F10" i="6" l="1"/>
  <c r="M10" i="6" s="1"/>
  <c r="I10" i="6" s="1"/>
  <c r="H9" i="6"/>
  <c r="J9" i="6"/>
  <c r="H11" i="6"/>
  <c r="F11" i="6"/>
  <c r="M11" i="6" s="1"/>
  <c r="K10" i="6" l="1"/>
  <c r="L10" i="6" s="1"/>
  <c r="F9" i="6"/>
  <c r="M9" i="6" s="1"/>
  <c r="K9" i="6" s="1"/>
  <c r="L9" i="6" s="1"/>
  <c r="K11" i="6"/>
  <c r="L11" i="6" s="1"/>
  <c r="I11" i="6"/>
  <c r="I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H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12" authorId="0" shapeId="0" xr:uid="{00000000-0006-0000-01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12" authorId="0" shapeId="0" xr:uid="{00000000-0006-0000-01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<sst xmlns="http://schemas.openxmlformats.org/spreadsheetml/2006/main" count="56" uniqueCount="36">
  <si>
    <t xml:space="preserve">Dependencia: </t>
  </si>
  <si>
    <t>Frecuencia:</t>
  </si>
  <si>
    <t>Mensual</t>
  </si>
  <si>
    <t>Plazo</t>
  </si>
  <si>
    <t>Capital</t>
  </si>
  <si>
    <t>*Calculo para fines informativos</t>
  </si>
  <si>
    <t>Calculo por:</t>
  </si>
  <si>
    <t>Tasa Global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</si>
  <si>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</si>
  <si>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</si>
  <si>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</si>
  <si>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</si>
  <si>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</si>
  <si>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</si>
  <si>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</si>
  <si>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</si>
  <si>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</si>
  <si>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</si>
  <si>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</si>
  <si>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</si>
  <si>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</si>
  <si>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Monto</t>
  </si>
  <si>
    <t>CAT con IVA</t>
  </si>
  <si>
    <t>IMSS PLEY/MAS NOMINA</t>
  </si>
  <si>
    <t>IMSS PENSIONADO LEY-TASA PREFERENCIAL</t>
  </si>
  <si>
    <t>Tipo de crédito:</t>
  </si>
  <si>
    <t>Crédito nuevo</t>
  </si>
  <si>
    <r>
      <t xml:space="preserve">Condiciones:
Se puede utilizar para simulaciones de créditos nuevos o LQ-3.
Crédito nuevo: Único plazo 54 M, monto mínimo 150,000.
Compra de cartera: Único plazo 54 M, monto mínimo 40,000.
</t>
    </r>
    <r>
      <rPr>
        <b/>
        <sz val="7"/>
        <color rgb="FFFF0000"/>
        <rFont val="Calibri"/>
        <family val="2"/>
        <scheme val="minor"/>
      </rPr>
      <t>En casos de LQ-3, el CAT del crédito activo debe se mayor al 39.03%.</t>
    </r>
  </si>
  <si>
    <t>CAT con IVA:</t>
  </si>
  <si>
    <t>Descuento</t>
  </si>
  <si>
    <t>54 Meses</t>
  </si>
  <si>
    <t>CAT PORTAL</t>
  </si>
  <si>
    <t>Préstamo</t>
  </si>
  <si>
    <t>Interés</t>
  </si>
  <si>
    <t>Pagaré</t>
  </si>
  <si>
    <r>
      <t xml:space="preserve">Condiciones:
Se puede utilizar para simulaciones de créditos nuevos, LQ-3 o compra intercompañias..
36 a 48 M, monto mínimo 15,000.
60 M, monto mínimo 10,000.
</t>
    </r>
    <r>
      <rPr>
        <b/>
        <sz val="6"/>
        <color rgb="FFFF0000"/>
        <rFont val="Calibri"/>
        <family val="2"/>
        <scheme val="minor"/>
      </rPr>
      <t>En casos de LQ-3, el CAT del crédito activo debe se mayor al 43.96%.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</si>
</sst>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00%"/>
    <numFmt numFmtId="166" formatCode="0.0000%"/>
    <numFmt numFmtId="167" formatCode="0.000%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0" fontId="0" fillId="5" borderId="0" xfId="0" applyFill="1" applyProtection="1"/>
    <xf numFmtId="0" fontId="1" fillId="5" borderId="0" xfId="0" applyFont="1" applyFill="1" applyAlignment="1" applyProtection="1">
      <alignment horizontal="center"/>
    </xf>
    <xf numFmtId="0" fontId="5" fillId="5" borderId="0" xfId="0" applyFont="1" applyFill="1" applyProtection="1"/>
    <xf numFmtId="0" fontId="1" fillId="6" borderId="0" xfId="0" applyFont="1" applyFill="1" applyAlignment="1" applyProtection="1">
      <alignment horizontal="center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10" fontId="0" fillId="4" borderId="0" xfId="0" applyNumberFormat="1" applyFill="1" applyProtection="1">
      <protection hidden="1"/>
    </xf>
    <xf numFmtId="10" fontId="0" fillId="4" borderId="0" xfId="2" applyNumberFormat="1" applyFont="1" applyFill="1" applyProtection="1">
      <protection hidden="1"/>
    </xf>
    <xf numFmtId="0" fontId="0" fillId="4" borderId="0" xfId="0" applyFont="1" applyFill="1" applyProtection="1">
      <protection hidden="1"/>
    </xf>
    <xf numFmtId="0" fontId="10" fillId="4" borderId="0" xfId="0" applyFont="1" applyFill="1" applyAlignment="1" applyProtection="1">
      <alignment horizontal="center"/>
      <protection locked="0"/>
    </xf>
    <xf numFmtId="165" fontId="10" fillId="4" borderId="0" xfId="0" applyNumberFormat="1" applyFont="1" applyFill="1" applyAlignment="1" applyProtection="1">
      <alignment horizontal="center"/>
      <protection hidden="1"/>
    </xf>
    <xf numFmtId="44" fontId="13" fillId="0" borderId="0" xfId="0" applyNumberFormat="1" applyFont="1" applyProtection="1">
      <protection locked="0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5" borderId="0" xfId="0" applyFont="1" applyFill="1" applyAlignment="1" applyProtection="1">
      <alignment horizontal="center"/>
    </xf>
    <xf numFmtId="166" fontId="0" fillId="4" borderId="0" xfId="0" applyNumberFormat="1" applyFill="1" applyProtection="1"/>
    <xf numFmtId="166" fontId="0" fillId="2" borderId="0" xfId="0" applyNumberFormat="1" applyFill="1" applyAlignment="1" applyProtection="1">
      <alignment horizontal="center"/>
    </xf>
    <xf numFmtId="167" fontId="0" fillId="4" borderId="0" xfId="0" applyNumberFormat="1" applyFill="1" applyProtection="1"/>
    <xf numFmtId="0" fontId="1" fillId="5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11" fillId="4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/>
      <protection locked="0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25</xdr:row>
      <xdr:rowOff>94593</xdr:rowOff>
    </xdr:from>
    <xdr:to>
      <xdr:col>12</xdr:col>
      <xdr:colOff>0</xdr:colOff>
      <xdr:row>26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357163" y="4895193"/>
          <a:ext cx="1773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9"/>
  <sheetViews>
    <sheetView showGridLines="0" tabSelected="1" topLeftCell="B1" zoomScale="130" zoomScaleNormal="130" workbookViewId="0">
      <selection activeCell="F6" sqref="F6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5703125" style="6" bestFit="1" customWidth="1"/>
    <col min="4" max="4" width="11.42578125" style="6"/>
    <col min="5" max="5" width="14.42578125" style="6" bestFit="1" customWidth="1"/>
    <col min="6" max="6" width="19.5703125" style="6" bestFit="1" customWidth="1"/>
    <col min="7" max="7" width="13.5703125" style="6" bestFit="1" customWidth="1"/>
    <col min="8" max="8" width="11.140625" style="6" bestFit="1" customWidth="1"/>
    <col min="9" max="9" width="14.42578125" style="6" bestFit="1" customWidth="1"/>
    <col min="10" max="10" width="15.7109375" style="6" customWidth="1"/>
    <col min="11" max="11" width="16.140625" style="6" customWidth="1"/>
    <col min="12" max="13" width="18.28515625" style="6" customWidth="1"/>
    <col min="14" max="15" width="11.42578125" style="6"/>
    <col min="16" max="21" width="0" style="6" hidden="1" customWidth="1"/>
    <col min="22" max="22" width="13.140625" style="6" hidden="1" customWidth="1"/>
    <col min="23" max="43" width="11.42578125" style="6"/>
    <col min="44" max="44" width="8.5703125" style="6" bestFit="1" customWidth="1"/>
    <col min="45" max="45" width="13.7109375" style="15" bestFit="1" customWidth="1"/>
    <col min="46" max="46" width="11.5703125" style="15" bestFit="1" customWidth="1"/>
    <col min="47" max="47" width="14.5703125" style="6" bestFit="1" customWidth="1"/>
    <col min="48" max="48" width="12.5703125" style="6" bestFit="1" customWidth="1"/>
    <col min="49" max="16384" width="11.42578125" style="6"/>
  </cols>
  <sheetData>
    <row r="1" spans="1:49" s="1" customFormat="1" x14ac:dyDescent="0.25">
      <c r="A1" s="2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 t="s">
        <v>9</v>
      </c>
      <c r="Q1" s="1" t="s">
        <v>10</v>
      </c>
      <c r="R1" s="1" t="s">
        <v>11</v>
      </c>
      <c r="S1" s="1" t="s">
        <v>13</v>
      </c>
      <c r="T1" s="1" t="s">
        <v>12</v>
      </c>
      <c r="U1" s="1" t="s">
        <v>14</v>
      </c>
      <c r="V1" s="1" t="s">
        <v>15</v>
      </c>
      <c r="AR1" s="3" t="s">
        <v>9</v>
      </c>
      <c r="AS1" s="11" t="s">
        <v>17</v>
      </c>
      <c r="AT1" s="11" t="s">
        <v>18</v>
      </c>
      <c r="AU1" s="1" t="s">
        <v>12</v>
      </c>
      <c r="AV1" s="1" t="s">
        <v>14</v>
      </c>
      <c r="AW1" s="1" t="s">
        <v>31</v>
      </c>
    </row>
    <row r="2" spans="1:49" s="1" customFormat="1" x14ac:dyDescent="0.25">
      <c r="A2" s="2"/>
      <c r="B2" s="17"/>
      <c r="C2" s="17"/>
      <c r="D2" s="37" t="s">
        <v>0</v>
      </c>
      <c r="E2" s="37"/>
      <c r="F2" s="38" t="s">
        <v>23</v>
      </c>
      <c r="G2" s="38"/>
      <c r="H2" s="38"/>
      <c r="I2" s="17"/>
      <c r="J2" s="17"/>
      <c r="K2" s="17"/>
      <c r="L2" s="17"/>
      <c r="M2" s="17"/>
      <c r="N2" s="17"/>
      <c r="O2" s="3"/>
      <c r="P2" s="8">
        <v>24</v>
      </c>
      <c r="Q2" s="11">
        <v>497000</v>
      </c>
      <c r="R2" s="12">
        <v>25850.25</v>
      </c>
      <c r="S2" s="9">
        <f>RATE(P2,-R2,Q2,0,0)</f>
        <v>1.8560002435494275E-2</v>
      </c>
      <c r="T2" s="10">
        <f>S2*2</f>
        <v>3.712000487098855E-2</v>
      </c>
      <c r="U2" s="10">
        <f>T2/1.16</f>
        <v>3.200000419912806E-2</v>
      </c>
      <c r="V2" s="10">
        <f>U2*12</f>
        <v>0.38400005038953672</v>
      </c>
      <c r="AR2" s="1">
        <v>36</v>
      </c>
      <c r="AS2" s="12">
        <v>250000</v>
      </c>
      <c r="AT2" s="16">
        <v>11593.11</v>
      </c>
      <c r="AU2" s="9">
        <f>RATE(AR2,-AT2,AS2,0,0)</f>
        <v>3.0829453922564014E-2</v>
      </c>
      <c r="AV2" s="34">
        <f>AU2/1.16</f>
        <v>2.657711545048622E-2</v>
      </c>
      <c r="AW2" s="9">
        <v>0.43959999999999999</v>
      </c>
    </row>
    <row r="3" spans="1:49" s="1" customFormat="1" x14ac:dyDescent="0.25">
      <c r="A3" s="2"/>
      <c r="B3" s="17"/>
      <c r="C3" s="17"/>
      <c r="D3" s="37" t="s">
        <v>1</v>
      </c>
      <c r="E3" s="37"/>
      <c r="F3" s="18" t="s">
        <v>2</v>
      </c>
      <c r="G3" s="17"/>
      <c r="H3" s="17"/>
      <c r="I3" s="17"/>
      <c r="J3" s="17"/>
      <c r="K3" s="17"/>
      <c r="L3" s="17"/>
      <c r="M3" s="17"/>
      <c r="N3" s="17"/>
      <c r="O3" s="3"/>
      <c r="P3" s="8">
        <v>48</v>
      </c>
      <c r="Q3" s="11">
        <v>497000</v>
      </c>
      <c r="R3" s="11">
        <v>15732</v>
      </c>
      <c r="S3" s="9">
        <f t="shared" ref="S3:S5" si="0">RATE(P3,-R3,Q3,0,0)</f>
        <v>1.8559989355188038E-2</v>
      </c>
      <c r="T3" s="10">
        <f t="shared" ref="T3:T5" si="1">S3*2</f>
        <v>3.7119978710376075E-2</v>
      </c>
      <c r="U3" s="10">
        <f t="shared" ref="U3:U5" si="2">T3/1.16</f>
        <v>3.1999981646875932E-2</v>
      </c>
      <c r="V3" s="10">
        <f t="shared" ref="V3:V5" si="3">U3*12</f>
        <v>0.38399977976251121</v>
      </c>
      <c r="AR3" s="1">
        <v>48</v>
      </c>
      <c r="AS3" s="12">
        <v>250000</v>
      </c>
      <c r="AT3" s="16">
        <v>10046.44</v>
      </c>
      <c r="AU3" s="9">
        <f t="shared" ref="AU3" si="4">RATE(AR3,-AT3,AS3,0,0)</f>
        <v>3.0829436912861729E-2</v>
      </c>
      <c r="AV3" s="34">
        <f t="shared" ref="AV3" si="5">AU3/1.16</f>
        <v>2.6577100786949769E-2</v>
      </c>
      <c r="AW3" s="9">
        <v>0.43959999999999999</v>
      </c>
    </row>
    <row r="4" spans="1:49" s="1" customFormat="1" ht="15" customHeight="1" x14ac:dyDescent="0.25">
      <c r="A4" s="2"/>
      <c r="B4" s="17"/>
      <c r="C4" s="17"/>
      <c r="D4" s="37" t="s">
        <v>6</v>
      </c>
      <c r="E4" s="37"/>
      <c r="F4" s="13" t="s">
        <v>21</v>
      </c>
      <c r="G4" s="17"/>
      <c r="H4" s="39" t="s">
        <v>35</v>
      </c>
      <c r="I4" s="39"/>
      <c r="J4" s="39"/>
      <c r="K4" s="39"/>
      <c r="L4" s="17"/>
      <c r="M4" s="17"/>
      <c r="N4" s="17"/>
      <c r="O4" s="3"/>
      <c r="P4" s="8">
        <v>72</v>
      </c>
      <c r="Q4" s="11">
        <v>497000</v>
      </c>
      <c r="R4" s="11">
        <v>12568.05</v>
      </c>
      <c r="S4" s="9">
        <f t="shared" si="0"/>
        <v>1.855999177746296E-2</v>
      </c>
      <c r="T4" s="10">
        <f t="shared" si="1"/>
        <v>3.711998355492592E-2</v>
      </c>
      <c r="U4" s="10">
        <f t="shared" si="2"/>
        <v>3.1999985823212E-2</v>
      </c>
      <c r="V4" s="10">
        <f t="shared" si="3"/>
        <v>0.38399982987854397</v>
      </c>
      <c r="AR4" s="1">
        <v>60</v>
      </c>
      <c r="AS4" s="12">
        <v>250000</v>
      </c>
      <c r="AT4" s="16">
        <v>9194.3700000000008</v>
      </c>
      <c r="AU4" s="9">
        <f>RATE(AR4,-AT4,AS4,0,0)</f>
        <v>3.0829454883708512E-2</v>
      </c>
      <c r="AV4" s="34">
        <f>AU4/1.16</f>
        <v>2.6577116279059065E-2</v>
      </c>
      <c r="AW4" s="9">
        <v>0.43959999999999999</v>
      </c>
    </row>
    <row r="5" spans="1:49" s="1" customFormat="1" ht="15" customHeight="1" x14ac:dyDescent="0.25">
      <c r="A5" s="2"/>
      <c r="B5" s="17"/>
      <c r="C5" s="17"/>
      <c r="D5" s="17"/>
      <c r="E5" s="17"/>
      <c r="F5" s="17"/>
      <c r="G5" s="17"/>
      <c r="H5" s="39"/>
      <c r="I5" s="39"/>
      <c r="J5" s="39"/>
      <c r="K5" s="39"/>
      <c r="L5" s="17"/>
      <c r="M5" s="17"/>
      <c r="N5" s="17"/>
      <c r="P5" s="8">
        <v>96</v>
      </c>
      <c r="Q5" s="11">
        <v>497000</v>
      </c>
      <c r="R5" s="11">
        <v>11128.57</v>
      </c>
      <c r="S5" s="9">
        <f t="shared" si="0"/>
        <v>1.8559997634293605E-2</v>
      </c>
      <c r="T5" s="10">
        <f t="shared" si="1"/>
        <v>3.7119995268587211E-2</v>
      </c>
      <c r="U5" s="10">
        <f t="shared" si="2"/>
        <v>3.1999995921195873E-2</v>
      </c>
      <c r="V5" s="10">
        <f t="shared" si="3"/>
        <v>0.38399995105435047</v>
      </c>
      <c r="AS5" s="12"/>
      <c r="AT5" s="16"/>
      <c r="AU5" s="9"/>
      <c r="AV5" s="34"/>
      <c r="AW5" s="9"/>
    </row>
    <row r="6" spans="1:49" s="1" customFormat="1" ht="18.75" x14ac:dyDescent="0.3">
      <c r="A6" s="2"/>
      <c r="B6" s="17"/>
      <c r="C6" s="17"/>
      <c r="D6" s="37" t="str">
        <f>IF(F4="MONTO","Ingrese el Monto:","Ingrese la capacidad:")</f>
        <v>Ingrese el Monto:</v>
      </c>
      <c r="E6" s="37"/>
      <c r="F6" s="14">
        <v>150000</v>
      </c>
      <c r="G6" s="17"/>
      <c r="H6" s="39"/>
      <c r="I6" s="39"/>
      <c r="J6" s="39"/>
      <c r="K6" s="39"/>
      <c r="L6" s="17"/>
      <c r="M6" s="17"/>
      <c r="N6" s="17"/>
      <c r="P6" s="3"/>
      <c r="Q6" s="3"/>
      <c r="R6" s="3"/>
      <c r="AS6" s="12"/>
      <c r="AT6" s="12"/>
      <c r="AU6" s="9"/>
      <c r="AV6" s="9"/>
    </row>
    <row r="7" spans="1:49" s="1" customFormat="1" x14ac:dyDescent="0.25">
      <c r="A7" s="2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AV7" s="36"/>
    </row>
    <row r="8" spans="1:49" s="1" customFormat="1" x14ac:dyDescent="0.25">
      <c r="A8" s="2"/>
      <c r="B8" s="17"/>
      <c r="C8" s="20" t="s">
        <v>22</v>
      </c>
      <c r="D8" s="20" t="s">
        <v>3</v>
      </c>
      <c r="E8" s="20" t="s">
        <v>32</v>
      </c>
      <c r="F8" s="20" t="s">
        <v>29</v>
      </c>
      <c r="G8" s="20" t="s">
        <v>19</v>
      </c>
      <c r="H8" s="20" t="s">
        <v>20</v>
      </c>
      <c r="I8" s="20" t="s">
        <v>7</v>
      </c>
      <c r="J8" s="20" t="s">
        <v>4</v>
      </c>
      <c r="K8" s="20" t="s">
        <v>33</v>
      </c>
      <c r="L8" s="20" t="s">
        <v>8</v>
      </c>
      <c r="M8" s="20" t="s">
        <v>34</v>
      </c>
      <c r="N8" s="17"/>
    </row>
    <row r="9" spans="1:49" s="1" customFormat="1" x14ac:dyDescent="0.25">
      <c r="A9" s="2">
        <v>36</v>
      </c>
      <c r="B9" s="17"/>
      <c r="C9" s="7">
        <f t="shared" ref="C9:C11" si="6">VLOOKUP(A9,$AR$1:$AW$5,6,0)</f>
        <v>0.43959999999999999</v>
      </c>
      <c r="D9" s="4" t="str">
        <f t="shared" ref="D9:D11" si="7">CONCATENATE(A9," M")</f>
        <v>36 M</v>
      </c>
      <c r="E9" s="5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15000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150000</v>
      </c>
      <c r="F9" s="5">
        <f>-PMT(G9,A9,E9,,0)</f>
        <v>6955.8660000001537</v>
      </c>
      <c r="G9" s="7">
        <f>VLOOKUP(A9,$AR$1:$AU$6,4,0)</f>
        <v>3.0829453922564014E-2</v>
      </c>
      <c r="H9" s="35">
        <f t="shared" ref="H9:H11" si="8">G9/1.16</f>
        <v>2.657711545048622E-2</v>
      </c>
      <c r="I9" s="7">
        <f>IFERROR(((M9-J9)/J9)/(A9),0)</f>
        <v>1.8594662222223248E-2</v>
      </c>
      <c r="J9" s="5">
        <f>E9</f>
        <v>150000</v>
      </c>
      <c r="K9" s="5">
        <f t="shared" ref="K9:K11" si="9">(M9-J9)/1.16</f>
        <v>86561.358620694431</v>
      </c>
      <c r="L9" s="5">
        <f t="shared" ref="L9:L11" si="10">K9*16%</f>
        <v>13849.817379311109</v>
      </c>
      <c r="M9" s="5">
        <f>F9*A9</f>
        <v>250411.17600000554</v>
      </c>
      <c r="N9" s="17"/>
    </row>
    <row r="10" spans="1:49" s="1" customFormat="1" x14ac:dyDescent="0.25">
      <c r="A10" s="2">
        <v>48</v>
      </c>
      <c r="B10" s="17"/>
      <c r="C10" s="7">
        <f t="shared" si="6"/>
        <v>0.43959999999999999</v>
      </c>
      <c r="D10" s="4" t="str">
        <f t="shared" si="7"/>
        <v>48 M</v>
      </c>
      <c r="E10" s="5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15000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150000</v>
      </c>
      <c r="F10" s="5">
        <f>-PMT(G10,A10,E10,,0)</f>
        <v>6027.864000000005</v>
      </c>
      <c r="G10" s="7">
        <f>VLOOKUP(A10,$AR$1:$AU$6,4,0)</f>
        <v>3.0829436912861729E-2</v>
      </c>
      <c r="H10" s="35">
        <f t="shared" si="8"/>
        <v>2.6577100786949769E-2</v>
      </c>
      <c r="I10" s="7">
        <f>IFERROR(((M10-J10)/J10)/(A10),0)</f>
        <v>1.93524266666667E-2</v>
      </c>
      <c r="J10" s="5">
        <f>E10</f>
        <v>150000</v>
      </c>
      <c r="K10" s="5">
        <f t="shared" si="9"/>
        <v>120118.51034482781</v>
      </c>
      <c r="L10" s="5">
        <f t="shared" si="10"/>
        <v>19218.96165517245</v>
      </c>
      <c r="M10" s="5">
        <f>F10*A10</f>
        <v>289337.47200000024</v>
      </c>
      <c r="N10" s="17"/>
    </row>
    <row r="11" spans="1:49" s="1" customFormat="1" x14ac:dyDescent="0.25">
      <c r="A11" s="2">
        <v>60</v>
      </c>
      <c r="B11" s="17"/>
      <c r="C11" s="7">
        <f t="shared" si="6"/>
        <v>0.43959999999999999</v>
      </c>
      <c r="D11" s="4" t="str">
        <f t="shared" si="7"/>
        <v>60 M</v>
      </c>
      <c r="E11" s="5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10000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150000</v>
      </c>
      <c r="F11" s="5">
        <f>-PMT(G11,A11,E11,,0)</f>
        <v>5516.6219999999948</v>
      </c>
      <c r="G11" s="7">
        <f>VLOOKUP(A11,$AR$1:$AU$6,4,0)</f>
        <v>3.0829454883708512E-2</v>
      </c>
      <c r="H11" s="35">
        <f t="shared" si="8"/>
        <v>2.6577116279059065E-2</v>
      </c>
      <c r="I11" s="7">
        <f>IFERROR(((M11-J11)/J11)/(A11),0)</f>
        <v>2.0110813333333304E-2</v>
      </c>
      <c r="J11" s="5">
        <f>E11</f>
        <v>150000</v>
      </c>
      <c r="K11" s="5">
        <f t="shared" si="9"/>
        <v>156032.17241379287</v>
      </c>
      <c r="L11" s="5">
        <f t="shared" si="10"/>
        <v>24965.147586206858</v>
      </c>
      <c r="M11" s="5">
        <f>F11*A11</f>
        <v>330997.31999999972</v>
      </c>
      <c r="N11" s="17"/>
      <c r="AS11" s="12"/>
      <c r="AT11" s="12"/>
    </row>
    <row r="12" spans="1:49" s="1" customFormat="1" x14ac:dyDescent="0.25">
      <c r="A12" s="2"/>
      <c r="B12" s="17"/>
      <c r="C12" s="17"/>
      <c r="D12" s="19" t="s">
        <v>5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AS12" s="12"/>
      <c r="AT12" s="12"/>
    </row>
    <row r="13" spans="1:49" s="1" customFormat="1" x14ac:dyDescent="0.25">
      <c r="A13" s="2"/>
      <c r="B13" s="17"/>
      <c r="C13" s="17"/>
      <c r="D13" s="19" t="s">
        <v>16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AS13" s="12"/>
      <c r="AT13" s="12"/>
    </row>
    <row r="14" spans="1:49" s="1" customFormat="1" x14ac:dyDescent="0.25">
      <c r="B14" s="17"/>
      <c r="C14" s="17"/>
      <c r="D14" s="19"/>
      <c r="E14" s="17"/>
      <c r="F14" s="17"/>
      <c r="G14" s="17"/>
      <c r="H14" s="17"/>
      <c r="I14" s="17"/>
      <c r="J14" s="17"/>
      <c r="K14" s="17"/>
      <c r="L14" s="17"/>
      <c r="M14" s="17"/>
      <c r="N14" s="17"/>
      <c r="AS14" s="12"/>
      <c r="AT14" s="12"/>
    </row>
    <row r="15" spans="1:49" s="1" customFormat="1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AS15" s="12"/>
      <c r="AT15" s="12"/>
    </row>
    <row r="16" spans="1:49" s="1" customForma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AS16" s="12"/>
      <c r="AT16" s="12"/>
    </row>
    <row r="17" spans="2:46" s="1" customForma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AS17" s="12"/>
      <c r="AT17" s="12"/>
    </row>
    <row r="18" spans="2:46" s="1" customForma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AS18" s="12"/>
      <c r="AT18" s="12"/>
    </row>
    <row r="19" spans="2:46" s="1" customForma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AS19" s="12"/>
      <c r="AT19" s="12"/>
    </row>
    <row r="20" spans="2:46" s="1" customForma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AS20" s="12"/>
      <c r="AT20" s="12"/>
    </row>
    <row r="21" spans="2:46" s="1" customForma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AS21" s="12"/>
      <c r="AT21" s="12"/>
    </row>
    <row r="22" spans="2:46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46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46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46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46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46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46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46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46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46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46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2:14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</sheetData>
  <sheetProtection algorithmName="SHA-512" hashValue="bBw0JzBHQNcqAkXe5Mw7FDD/+O6qBGPqdofdvXw3bxvvbuOb/jE9IH0CbpMXQ+GzPCuy+sKOVAvrM9CuS/WuTQ==" saltValue="uTqRIApmZlpDkL2IeWlDTQ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8"/>
  <sheetViews>
    <sheetView showGridLines="0" topLeftCell="B1" zoomScale="130" zoomScaleNormal="130" workbookViewId="0">
      <selection activeCell="E6" sqref="E6:F6"/>
    </sheetView>
  </sheetViews>
  <sheetFormatPr baseColWidth="10" defaultRowHeight="15" x14ac:dyDescent="0.25"/>
  <cols>
    <col min="1" max="1" width="3" style="32" hidden="1" customWidth="1"/>
    <col min="2" max="2" width="4.42578125" style="32" customWidth="1"/>
    <col min="3" max="3" width="11.42578125" style="32"/>
    <col min="4" max="4" width="14.140625" style="32" bestFit="1" customWidth="1"/>
    <col min="5" max="5" width="15.28515625" style="32" bestFit="1" customWidth="1"/>
    <col min="6" max="6" width="13.5703125" style="32" bestFit="1" customWidth="1"/>
    <col min="7" max="7" width="12.7109375" style="32" bestFit="1" customWidth="1"/>
    <col min="8" max="12" width="14.28515625" style="32" customWidth="1"/>
    <col min="13" max="22" width="11.42578125" style="32"/>
    <col min="23" max="23" width="3" style="32" bestFit="1" customWidth="1"/>
    <col min="24" max="24" width="7.140625" style="32" bestFit="1" customWidth="1"/>
    <col min="25" max="25" width="8.28515625" style="32" bestFit="1" customWidth="1"/>
    <col min="26" max="27" width="6.140625" style="32" bestFit="1" customWidth="1"/>
    <col min="28" max="16384" width="11.42578125" style="32"/>
  </cols>
  <sheetData>
    <row r="1" spans="1:27" s="22" customFormat="1" x14ac:dyDescent="0.25">
      <c r="A1" s="2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W1" s="22">
        <v>54</v>
      </c>
      <c r="X1" s="22">
        <v>250000</v>
      </c>
      <c r="Y1" s="22">
        <v>9003.86</v>
      </c>
      <c r="Z1" s="23">
        <f>RATE(W1,-Y1,X1,0,0)</f>
        <v>2.7840007150424909E-2</v>
      </c>
      <c r="AA1" s="24">
        <f>Z1/1.16</f>
        <v>2.4000006164159406E-2</v>
      </c>
    </row>
    <row r="2" spans="1:27" s="22" customFormat="1" x14ac:dyDescent="0.25">
      <c r="A2" s="21"/>
      <c r="B2" s="17"/>
      <c r="C2" s="37" t="s">
        <v>0</v>
      </c>
      <c r="D2" s="37"/>
      <c r="E2" s="41" t="s">
        <v>24</v>
      </c>
      <c r="F2" s="41"/>
      <c r="G2" s="41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5"/>
      <c r="T2" s="25"/>
      <c r="U2" s="25"/>
    </row>
    <row r="3" spans="1:27" s="22" customFormat="1" x14ac:dyDescent="0.25">
      <c r="A3" s="21"/>
      <c r="B3" s="17"/>
      <c r="C3" s="37" t="s">
        <v>1</v>
      </c>
      <c r="D3" s="37"/>
      <c r="E3" s="33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25"/>
      <c r="T3" s="25"/>
      <c r="U3" s="25"/>
    </row>
    <row r="4" spans="1:27" s="22" customFormat="1" ht="15.75" x14ac:dyDescent="0.25">
      <c r="A4" s="21"/>
      <c r="B4" s="17"/>
      <c r="C4" s="37" t="s">
        <v>6</v>
      </c>
      <c r="D4" s="37"/>
      <c r="E4" s="26" t="s">
        <v>21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25"/>
      <c r="T4" s="25"/>
      <c r="U4" s="25"/>
    </row>
    <row r="5" spans="1:27" s="22" customFormat="1" x14ac:dyDescent="0.25">
      <c r="A5" s="21"/>
      <c r="B5" s="17"/>
      <c r="C5" s="37"/>
      <c r="D5" s="3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25"/>
      <c r="T5" s="25"/>
      <c r="U5" s="25"/>
    </row>
    <row r="6" spans="1:27" s="22" customFormat="1" ht="15.75" x14ac:dyDescent="0.25">
      <c r="A6" s="21"/>
      <c r="B6" s="17"/>
      <c r="C6" s="37" t="s">
        <v>25</v>
      </c>
      <c r="D6" s="37"/>
      <c r="E6" s="42" t="s">
        <v>26</v>
      </c>
      <c r="F6" s="42"/>
      <c r="G6" s="17"/>
      <c r="H6" s="40" t="s">
        <v>27</v>
      </c>
      <c r="I6" s="40"/>
      <c r="J6" s="40"/>
      <c r="K6" s="17"/>
      <c r="L6" s="17"/>
      <c r="M6" s="17"/>
      <c r="N6" s="17"/>
      <c r="O6" s="17"/>
      <c r="P6" s="17"/>
      <c r="Q6" s="17"/>
      <c r="R6" s="17"/>
      <c r="S6" s="25"/>
      <c r="T6" s="25"/>
      <c r="U6" s="25"/>
    </row>
    <row r="7" spans="1:27" s="22" customFormat="1" x14ac:dyDescent="0.25">
      <c r="A7" s="21"/>
      <c r="B7" s="17"/>
      <c r="C7" s="37"/>
      <c r="D7" s="37"/>
      <c r="E7" s="17"/>
      <c r="F7" s="17"/>
      <c r="G7" s="17"/>
      <c r="H7" s="40"/>
      <c r="I7" s="40"/>
      <c r="J7" s="40"/>
      <c r="K7" s="17"/>
      <c r="L7" s="17"/>
      <c r="M7" s="17"/>
      <c r="N7" s="17"/>
      <c r="O7" s="17"/>
      <c r="P7" s="17"/>
      <c r="Q7" s="17"/>
      <c r="R7" s="17"/>
      <c r="S7" s="25"/>
      <c r="T7" s="25"/>
      <c r="U7" s="25"/>
    </row>
    <row r="8" spans="1:27" s="22" customFormat="1" ht="15.75" x14ac:dyDescent="0.25">
      <c r="A8" s="21"/>
      <c r="B8" s="17"/>
      <c r="C8" s="37" t="s">
        <v>28</v>
      </c>
      <c r="D8" s="37"/>
      <c r="E8" s="27">
        <v>0.39029249999999999</v>
      </c>
      <c r="F8" s="17"/>
      <c r="G8" s="17"/>
      <c r="H8" s="40"/>
      <c r="I8" s="40"/>
      <c r="J8" s="40"/>
      <c r="K8" s="17"/>
      <c r="L8" s="17"/>
      <c r="M8" s="17"/>
      <c r="N8" s="17"/>
      <c r="O8" s="17"/>
      <c r="P8" s="17"/>
      <c r="Q8" s="17"/>
      <c r="R8" s="17"/>
      <c r="S8" s="25"/>
      <c r="T8" s="25"/>
      <c r="U8" s="25"/>
    </row>
    <row r="9" spans="1:27" s="22" customFormat="1" x14ac:dyDescent="0.25">
      <c r="A9" s="21"/>
      <c r="B9" s="17"/>
      <c r="C9" s="37"/>
      <c r="D9" s="37"/>
      <c r="E9" s="17"/>
      <c r="F9" s="17"/>
      <c r="G9" s="17"/>
      <c r="H9" s="40"/>
      <c r="I9" s="40"/>
      <c r="J9" s="40"/>
      <c r="K9" s="17"/>
      <c r="L9" s="17"/>
      <c r="M9" s="17"/>
      <c r="N9" s="17"/>
      <c r="O9" s="17"/>
      <c r="P9" s="17"/>
      <c r="Q9" s="17"/>
      <c r="R9" s="17"/>
      <c r="S9" s="25"/>
      <c r="T9" s="25"/>
      <c r="U9" s="25"/>
    </row>
    <row r="10" spans="1:27" s="22" customFormat="1" ht="15.75" x14ac:dyDescent="0.25">
      <c r="A10" s="21"/>
      <c r="B10" s="17"/>
      <c r="C10" s="37" t="str">
        <f>IF(E4="MONTO","Ingrese el Monto:","Ingrese la capacidad:")</f>
        <v>Ingrese el Monto:</v>
      </c>
      <c r="D10" s="37"/>
      <c r="E10" s="28">
        <v>150000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27" s="22" customFormat="1" x14ac:dyDescent="0.25">
      <c r="A11" s="2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27" s="22" customFormat="1" x14ac:dyDescent="0.25">
      <c r="A12" s="21"/>
      <c r="B12" s="17"/>
      <c r="C12" s="20" t="s">
        <v>3</v>
      </c>
      <c r="D12" s="20" t="s">
        <v>32</v>
      </c>
      <c r="E12" s="20" t="s">
        <v>29</v>
      </c>
      <c r="F12" s="20" t="s">
        <v>19</v>
      </c>
      <c r="G12" s="20" t="s">
        <v>20</v>
      </c>
      <c r="H12" s="20" t="s">
        <v>7</v>
      </c>
      <c r="I12" s="20" t="s">
        <v>4</v>
      </c>
      <c r="J12" s="20" t="s">
        <v>33</v>
      </c>
      <c r="K12" s="20" t="s">
        <v>8</v>
      </c>
      <c r="L12" s="20" t="s">
        <v>34</v>
      </c>
      <c r="M12" s="17"/>
      <c r="N12" s="17"/>
      <c r="O12" s="17"/>
      <c r="P12" s="17"/>
      <c r="Q12" s="17"/>
      <c r="R12" s="17"/>
    </row>
    <row r="13" spans="1:27" s="22" customFormat="1" x14ac:dyDescent="0.25">
      <c r="A13" s="21">
        <v>54</v>
      </c>
      <c r="B13" s="17"/>
      <c r="C13" s="29" t="s">
        <v>30</v>
      </c>
      <c r="D13" s="30">
        <f>IF($E$6="Crédito nuevo",
IF(IF($E$4="MONTO",IF((IF(MOD($E$10,500)=0,$E$10,$E$10-MOD($E$10,500)))&gt;1000000,1000000,IF(MOD($E$10,500)=0,$E$10,$E$10-MOD($E$10,500))),IF(((1-(1+F13)^(-A13))/(F13))*$E$10&gt;1000000,1000000,IF(MOD(((1-(1+F13)^(-A13))/(F13))*$E$10,500)=0,((1-(1+F13)^(-A13))/(F13))*$E$10,((1-(1+F13)^(-A13))/(F13))*$E$10-MOD(((1-(1+F13)^(-A13))/(F13))*$E$10,500))))&gt;=150000,
IF($E$4="MONTO",IF((IF(MOD($E$10,500)=0,$E$10,$E$10-MOD($E$10,500)))&gt;1000000,1000000,IF(MOD($E$10,500)=0,$E$10,$E$10-MOD($E$10,500))),IF(((1-(1+F13)^(-A13))/(F13))*$E$10&gt;1000000,1000000,IF(MOD(((1-(1+F13)^(-A13))/(F13))*$E$10,500)=0,((1-(1+F13)^(-A13))/(F13))*$E$10,((1-(1+F13)^(-A13))/(F13))*$E$10-MOD(((1-(1+F13)^(-A13))/(F13))*$E$10,500)))),
0),
IF(IF($E$4="MONTO",IF((IF(MOD($E$10,500)=0,$E$10,$E$10-MOD($E$10,500)))&gt;1000000,1000000,IF(MOD($E$10,500)=0,$E$10,$E$10-MOD($E$10,500))),IF(((1-(1+F13)^(-A13))/(F13))*$E$10&gt;1000000,1000000,IF(MOD(((1-(1+F13)^(-A13))/(F13))*$E$10,500)=0,((1-(1+F13)^(-A13))/(F13))*$E$10,((1-(1+F13)^(-A13))/(F13))*$E$10-MOD(((1-(1+F13)^(-A13))/(F13))*$E$10,500))))&gt;=40000,
IF($E$4="MONTO",IF((IF(MOD($E$10,500)=0,$E$10,$E$10-MOD($E$10,500)))&gt;1000000,1000000,IF(MOD($E$10,500)=0,$E$10,$E$10-MOD($E$10,500))),IF(((1-(1+F13)^(-A13))/(F13))*$E$10&gt;1000000,1000000,IF(MOD(((1-(1+F13)^(-A13))/(F13))*$E$10,500)=0,((1-(1+F13)^(-A13))/(F13))*$E$10,((1-(1+F13)^(-A13))/(F13))*$E$10-MOD(((1-(1+F13)^(-A13))/(F13))*$E$10,500)))),
0))</f>
        <v>150000</v>
      </c>
      <c r="E13" s="30">
        <f>-PMT(F13,A13,D13,,0)</f>
        <v>5402.3160000000016</v>
      </c>
      <c r="F13" s="31">
        <f>Z1</f>
        <v>2.7840007150424909E-2</v>
      </c>
      <c r="G13" s="31">
        <f>F13/1.16</f>
        <v>2.4000006164159406E-2</v>
      </c>
      <c r="H13" s="31">
        <f>IFERROR(((L13-I13)/I13)/A13,0)</f>
        <v>1.7496921481481492E-2</v>
      </c>
      <c r="I13" s="30">
        <f>D13</f>
        <v>150000</v>
      </c>
      <c r="J13" s="30">
        <f>(L13-I13)/1.16</f>
        <v>122176.77931034489</v>
      </c>
      <c r="K13" s="30">
        <f>J13*16%</f>
        <v>19548.284689655182</v>
      </c>
      <c r="L13" s="30">
        <f>E13*A13</f>
        <v>291725.06400000007</v>
      </c>
      <c r="M13" s="17"/>
      <c r="N13" s="17"/>
      <c r="O13" s="17"/>
      <c r="P13" s="17"/>
      <c r="Q13" s="17"/>
      <c r="R13" s="17"/>
    </row>
    <row r="14" spans="1:27" s="22" customFormat="1" x14ac:dyDescent="0.25">
      <c r="A14" s="21"/>
      <c r="B14" s="17"/>
      <c r="C14" s="19" t="s">
        <v>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27" s="22" customFormat="1" x14ac:dyDescent="0.25">
      <c r="A15" s="21"/>
      <c r="B15" s="17"/>
      <c r="C15" s="19" t="s">
        <v>16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27" s="22" customFormat="1" x14ac:dyDescent="0.25">
      <c r="A16" s="2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s="22" customForma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s="22" customForma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s="22" customForma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22" customForma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s="22" customForma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s="22" customForma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s="22" customForma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s="22" customForma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</sheetData>
  <sheetProtection algorithmName="SHA-512" hashValue="RpU9SiZa+xG+nWrqKQpQQ3ZR7Zvn+NpKNfdYJEY1SIh576CiVTzijPtDtVywWfv7y/a0YvAt4TXvCsPvZYfSBg==" saltValue="Cl/u3yVRjRwd7loAKyhBJA==" spinCount="100000" sheet="1" objects="1" scenarios="1" selectLockedCells="1"/>
  <mergeCells count="12">
    <mergeCell ref="H6:J9"/>
    <mergeCell ref="C8:D8"/>
    <mergeCell ref="C10:D10"/>
    <mergeCell ref="C2:D2"/>
    <mergeCell ref="E2:G2"/>
    <mergeCell ref="C3:D3"/>
    <mergeCell ref="C4:D4"/>
    <mergeCell ref="C6:D6"/>
    <mergeCell ref="E6:F6"/>
    <mergeCell ref="C5:D5"/>
    <mergeCell ref="C7:D7"/>
    <mergeCell ref="C9:D9"/>
  </mergeCells>
  <dataValidations count="2">
    <dataValidation type="list" allowBlank="1" showInputMessage="1" showErrorMessage="1" sqref="E6" xr:uid="{00000000-0002-0000-0100-000000000000}">
      <formula1>"Crédito nuevo, Compra de cartera"</formula1>
    </dataValidation>
    <dataValidation type="list" allowBlank="1" showInputMessage="1" showErrorMessage="1" sqref="E4" xr:uid="{00000000-0002-0000-0100-000001000000}">
      <formula1>"Monto, Capacidad"</formula1>
    </dataValidation>
  </dataValidation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PLEY 2.6577% CAT 43.96%</vt:lpstr>
      <vt:lpstr>TASA ESPECIAL 2.40% CAT 39.03%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2026-05-09T14:54:38Z</dcterms:modified>
</cp:coreProperties>
</file>