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DOCUMENTOS2\"/>
    </mc:Choice>
  </mc:AlternateContent>
  <xr:revisionPtr revIDLastSave="0" documentId="13_ncr:1_{E7AFE0D5-9509-4551-A508-9D3912C71F98}" xr6:coauthVersionLast="47" xr6:coauthVersionMax="47" xr10:uidLastSave="{00000000-0000-0000-0000-000000000000}"/>
  <bookViews>
    <workbookView showHorizontalScroll="0" showVerticalScroll="0" xWindow="-120" yWindow="-120" windowWidth="20640" windowHeight="11040" xr2:uid="{00000000-000D-0000-FFFF-FFFF00000000}"/>
  </bookViews>
  <sheets>
    <sheet name="GFI 2.66% CAT 43.97%" sheetId="2" r:id="rId1"/>
    <sheet name="GFI 2.50% CAT 41%" sheetId="1" r:id="rId2"/>
    <sheet name="GFI 2.37% CAT 38.5%" sheetId="8" r:id="rId3"/>
    <sheet name="GFI 2.29% CAT 37%" sheetId="5" r:id="rId4"/>
    <sheet name="GFI 2.21% CAT 35.50%" sheetId="9" r:id="rId5"/>
    <sheet name="GFI 2.02% CAT 32%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P2" i="2" l="1"/>
  <c r="D15" i="10"/>
  <c r="I15" i="10" s="1"/>
  <c r="C15" i="10"/>
  <c r="D14" i="10"/>
  <c r="I14" i="10" s="1"/>
  <c r="C14" i="10"/>
  <c r="D13" i="10"/>
  <c r="I13" i="10" s="1"/>
  <c r="C13" i="10"/>
  <c r="D12" i="10"/>
  <c r="I12" i="10" s="1"/>
  <c r="C12" i="10"/>
  <c r="D11" i="10"/>
  <c r="I11" i="10" s="1"/>
  <c r="C11" i="10"/>
  <c r="D10" i="10"/>
  <c r="I10" i="10" s="1"/>
  <c r="C10" i="10"/>
  <c r="AN7" i="10"/>
  <c r="F15" i="10" s="1"/>
  <c r="AN6" i="10"/>
  <c r="F14" i="10" s="1"/>
  <c r="C6" i="10"/>
  <c r="AN5" i="10"/>
  <c r="AO5" i="10" s="1"/>
  <c r="G13" i="10" s="1"/>
  <c r="AN4" i="10"/>
  <c r="AO4" i="10" s="1"/>
  <c r="G12" i="10" s="1"/>
  <c r="AN3" i="10"/>
  <c r="F11" i="10" s="1"/>
  <c r="AN2" i="10"/>
  <c r="F10" i="10" s="1"/>
  <c r="C6" i="2"/>
  <c r="E14" i="10" l="1"/>
  <c r="L14" i="10" s="1"/>
  <c r="J14" i="10" s="1"/>
  <c r="K14" i="10" s="1"/>
  <c r="E15" i="10"/>
  <c r="L15" i="10" s="1"/>
  <c r="J15" i="10" s="1"/>
  <c r="K15" i="10" s="1"/>
  <c r="E11" i="10"/>
  <c r="L11" i="10" s="1"/>
  <c r="J11" i="10" s="1"/>
  <c r="K11" i="10" s="1"/>
  <c r="E10" i="10"/>
  <c r="L10" i="10" s="1"/>
  <c r="H10" i="10" s="1"/>
  <c r="AO3" i="10"/>
  <c r="G11" i="10" s="1"/>
  <c r="AO7" i="10"/>
  <c r="G15" i="10" s="1"/>
  <c r="F12" i="10"/>
  <c r="E12" i="10" s="1"/>
  <c r="L12" i="10" s="1"/>
  <c r="AO2" i="10"/>
  <c r="G10" i="10" s="1"/>
  <c r="AO6" i="10"/>
  <c r="G14" i="10" s="1"/>
  <c r="F13" i="10"/>
  <c r="E13" i="10" s="1"/>
  <c r="L13" i="10" s="1"/>
  <c r="D15" i="9"/>
  <c r="I15" i="9" s="1"/>
  <c r="C15" i="9"/>
  <c r="D14" i="9"/>
  <c r="I14" i="9" s="1"/>
  <c r="C14" i="9"/>
  <c r="D13" i="9"/>
  <c r="I13" i="9" s="1"/>
  <c r="C13" i="9"/>
  <c r="D12" i="9"/>
  <c r="I12" i="9" s="1"/>
  <c r="C12" i="9"/>
  <c r="D11" i="9"/>
  <c r="I11" i="9" s="1"/>
  <c r="C11" i="9"/>
  <c r="D10" i="9"/>
  <c r="I10" i="9" s="1"/>
  <c r="C10" i="9"/>
  <c r="AN7" i="9"/>
  <c r="F15" i="9" s="1"/>
  <c r="AN6" i="9"/>
  <c r="F14" i="9" s="1"/>
  <c r="C6" i="9"/>
  <c r="AN5" i="9"/>
  <c r="AO5" i="9" s="1"/>
  <c r="G13" i="9" s="1"/>
  <c r="AN4" i="9"/>
  <c r="F12" i="9" s="1"/>
  <c r="AN3" i="9"/>
  <c r="F11" i="9" s="1"/>
  <c r="AN2" i="9"/>
  <c r="F10" i="9" s="1"/>
  <c r="D14" i="8"/>
  <c r="I14" i="8" s="1"/>
  <c r="C14" i="8"/>
  <c r="D13" i="8"/>
  <c r="I13" i="8" s="1"/>
  <c r="C13" i="8"/>
  <c r="D12" i="8"/>
  <c r="I12" i="8" s="1"/>
  <c r="C12" i="8"/>
  <c r="D11" i="8"/>
  <c r="I11" i="8" s="1"/>
  <c r="C11" i="8"/>
  <c r="D10" i="8"/>
  <c r="I10" i="8" s="1"/>
  <c r="C10" i="8"/>
  <c r="D9" i="8"/>
  <c r="I9" i="8" s="1"/>
  <c r="C9" i="8"/>
  <c r="AN7" i="8"/>
  <c r="AO7" i="8" s="1"/>
  <c r="G14" i="8" s="1"/>
  <c r="AN6" i="8"/>
  <c r="AO6" i="8" s="1"/>
  <c r="G13" i="8" s="1"/>
  <c r="C6" i="8"/>
  <c r="AN5" i="8"/>
  <c r="F12" i="8" s="1"/>
  <c r="AN4" i="8"/>
  <c r="F11" i="8" s="1"/>
  <c r="AN3" i="8"/>
  <c r="F10" i="8" s="1"/>
  <c r="AN2" i="8"/>
  <c r="AO2" i="8" s="1"/>
  <c r="G9" i="8" s="1"/>
  <c r="AO3" i="9" l="1"/>
  <c r="G11" i="9" s="1"/>
  <c r="H14" i="10"/>
  <c r="H15" i="10"/>
  <c r="H11" i="10"/>
  <c r="J10" i="10"/>
  <c r="K10" i="10" s="1"/>
  <c r="H13" i="10"/>
  <c r="J13" i="10"/>
  <c r="K13" i="10" s="1"/>
  <c r="J12" i="10"/>
  <c r="K12" i="10" s="1"/>
  <c r="H12" i="10"/>
  <c r="AO7" i="9"/>
  <c r="G15" i="9" s="1"/>
  <c r="E12" i="9"/>
  <c r="L12" i="9" s="1"/>
  <c r="J12" i="9" s="1"/>
  <c r="K12" i="9" s="1"/>
  <c r="E14" i="9"/>
  <c r="L14" i="9" s="1"/>
  <c r="J14" i="9" s="1"/>
  <c r="K14" i="9" s="1"/>
  <c r="E15" i="9"/>
  <c r="L15" i="9" s="1"/>
  <c r="H15" i="9" s="1"/>
  <c r="E10" i="9"/>
  <c r="L10" i="9" s="1"/>
  <c r="J10" i="9" s="1"/>
  <c r="K10" i="9" s="1"/>
  <c r="E11" i="9"/>
  <c r="L11" i="9" s="1"/>
  <c r="J11" i="9" s="1"/>
  <c r="K11" i="9" s="1"/>
  <c r="F13" i="9"/>
  <c r="E13" i="9" s="1"/>
  <c r="L13" i="9" s="1"/>
  <c r="AO2" i="9"/>
  <c r="G10" i="9" s="1"/>
  <c r="AO4" i="9"/>
  <c r="G12" i="9" s="1"/>
  <c r="AO6" i="9"/>
  <c r="G14" i="9" s="1"/>
  <c r="F13" i="8"/>
  <c r="E13" i="8" s="1"/>
  <c r="L13" i="8" s="1"/>
  <c r="J13" i="8" s="1"/>
  <c r="K13" i="8" s="1"/>
  <c r="E10" i="8"/>
  <c r="L10" i="8" s="1"/>
  <c r="J10" i="8" s="1"/>
  <c r="K10" i="8" s="1"/>
  <c r="AO5" i="8"/>
  <c r="G12" i="8" s="1"/>
  <c r="AO4" i="8"/>
  <c r="G11" i="8" s="1"/>
  <c r="E12" i="8"/>
  <c r="L12" i="8" s="1"/>
  <c r="J12" i="8" s="1"/>
  <c r="K12" i="8" s="1"/>
  <c r="AO3" i="8"/>
  <c r="G10" i="8" s="1"/>
  <c r="E11" i="8"/>
  <c r="L11" i="8" s="1"/>
  <c r="H11" i="8" s="1"/>
  <c r="F9" i="8"/>
  <c r="E9" i="8" s="1"/>
  <c r="L9" i="8" s="1"/>
  <c r="F14" i="8"/>
  <c r="E14" i="8" s="1"/>
  <c r="L14" i="8" s="1"/>
  <c r="H10" i="9" l="1"/>
  <c r="J15" i="9"/>
  <c r="K15" i="9" s="1"/>
  <c r="H14" i="9"/>
  <c r="H12" i="9"/>
  <c r="H11" i="9"/>
  <c r="H13" i="9"/>
  <c r="J13" i="9"/>
  <c r="K13" i="9" s="1"/>
  <c r="H10" i="8"/>
  <c r="H12" i="8"/>
  <c r="J11" i="8"/>
  <c r="K11" i="8" s="1"/>
  <c r="H13" i="8"/>
  <c r="J14" i="8"/>
  <c r="K14" i="8" s="1"/>
  <c r="H14" i="8"/>
  <c r="J9" i="8"/>
  <c r="K9" i="8" s="1"/>
  <c r="H9" i="8"/>
  <c r="D14" i="5" l="1"/>
  <c r="I14" i="5" s="1"/>
  <c r="C14" i="5"/>
  <c r="D13" i="5"/>
  <c r="I13" i="5" s="1"/>
  <c r="C13" i="5"/>
  <c r="D12" i="5"/>
  <c r="I12" i="5" s="1"/>
  <c r="C12" i="5"/>
  <c r="D11" i="5"/>
  <c r="I11" i="5" s="1"/>
  <c r="C11" i="5"/>
  <c r="D10" i="5"/>
  <c r="I10" i="5" s="1"/>
  <c r="C10" i="5"/>
  <c r="D9" i="5"/>
  <c r="I9" i="5" s="1"/>
  <c r="C9" i="5"/>
  <c r="AN7" i="5"/>
  <c r="F14" i="5" s="1"/>
  <c r="AN6" i="5"/>
  <c r="F13" i="5" s="1"/>
  <c r="C6" i="5"/>
  <c r="AN5" i="5"/>
  <c r="AO5" i="5" s="1"/>
  <c r="G12" i="5" s="1"/>
  <c r="AN4" i="5"/>
  <c r="AO4" i="5" s="1"/>
  <c r="G11" i="5" s="1"/>
  <c r="AN3" i="5"/>
  <c r="F10" i="5" s="1"/>
  <c r="AN2" i="5"/>
  <c r="F9" i="5" s="1"/>
  <c r="AO6" i="5" l="1"/>
  <c r="G13" i="5" s="1"/>
  <c r="E9" i="5"/>
  <c r="L9" i="5" s="1"/>
  <c r="H9" i="5" s="1"/>
  <c r="E10" i="5"/>
  <c r="L10" i="5" s="1"/>
  <c r="J10" i="5" s="1"/>
  <c r="K10" i="5" s="1"/>
  <c r="E14" i="5"/>
  <c r="L14" i="5" s="1"/>
  <c r="H14" i="5" s="1"/>
  <c r="E13" i="5"/>
  <c r="L13" i="5" s="1"/>
  <c r="H13" i="5" s="1"/>
  <c r="AO2" i="5"/>
  <c r="G9" i="5" s="1"/>
  <c r="AO7" i="5"/>
  <c r="G14" i="5" s="1"/>
  <c r="F11" i="5"/>
  <c r="E11" i="5" s="1"/>
  <c r="L11" i="5" s="1"/>
  <c r="F12" i="5"/>
  <c r="E12" i="5" s="1"/>
  <c r="L12" i="5" s="1"/>
  <c r="AO3" i="5"/>
  <c r="G10" i="5" s="1"/>
  <c r="J9" i="5" l="1"/>
  <c r="K9" i="5" s="1"/>
  <c r="J14" i="5"/>
  <c r="K14" i="5" s="1"/>
  <c r="J13" i="5"/>
  <c r="K13" i="5" s="1"/>
  <c r="H10" i="5"/>
  <c r="H12" i="5"/>
  <c r="J12" i="5"/>
  <c r="K12" i="5" s="1"/>
  <c r="J11" i="5"/>
  <c r="K11" i="5" s="1"/>
  <c r="H11" i="5"/>
  <c r="D10" i="1"/>
  <c r="D14" i="1" l="1"/>
  <c r="D13" i="1"/>
  <c r="D12" i="1"/>
  <c r="D11" i="1"/>
  <c r="D9" i="1" l="1"/>
  <c r="AN2" i="1"/>
  <c r="AO2" i="1" s="1"/>
  <c r="AN3" i="1"/>
  <c r="AO3" i="1" s="1"/>
  <c r="AN4" i="1"/>
  <c r="AO4" i="1" s="1"/>
  <c r="AN5" i="1"/>
  <c r="AO5" i="1" s="1"/>
  <c r="AN6" i="1"/>
  <c r="AO6" i="1" s="1"/>
  <c r="AN7" i="1"/>
  <c r="AO7" i="1" s="1"/>
  <c r="D14" i="2" l="1"/>
  <c r="D13" i="2"/>
  <c r="D12" i="2"/>
  <c r="D11" i="2"/>
  <c r="D10" i="2"/>
  <c r="D9" i="2"/>
  <c r="C14" i="2"/>
  <c r="C13" i="2"/>
  <c r="C12" i="2"/>
  <c r="C11" i="2"/>
  <c r="C10" i="2"/>
  <c r="C9" i="2"/>
  <c r="F13" i="2"/>
  <c r="F9" i="2"/>
  <c r="G14" i="2" l="1"/>
  <c r="AP7" i="2"/>
  <c r="G12" i="2"/>
  <c r="AP5" i="2"/>
  <c r="G11" i="2"/>
  <c r="AP4" i="2"/>
  <c r="G10" i="2"/>
  <c r="AP3" i="2"/>
  <c r="I13" i="2"/>
  <c r="I9" i="2"/>
  <c r="F10" i="2"/>
  <c r="F14" i="2"/>
  <c r="F11" i="2"/>
  <c r="F12" i="2"/>
  <c r="G14" i="1"/>
  <c r="G13" i="1"/>
  <c r="G12" i="1"/>
  <c r="G11" i="1"/>
  <c r="G10" i="1"/>
  <c r="G9" i="1"/>
  <c r="F9" i="1"/>
  <c r="G13" i="2" l="1"/>
  <c r="AP6" i="2"/>
  <c r="G9" i="2"/>
  <c r="E9" i="2"/>
  <c r="L9" i="2" s="1"/>
  <c r="J9" i="2" s="1"/>
  <c r="K9" i="2" s="1"/>
  <c r="I12" i="2"/>
  <c r="E13" i="2"/>
  <c r="L13" i="2" s="1"/>
  <c r="I14" i="2"/>
  <c r="I11" i="2"/>
  <c r="I10" i="2"/>
  <c r="C13" i="1"/>
  <c r="C12" i="1"/>
  <c r="H9" i="2" l="1"/>
  <c r="E11" i="2"/>
  <c r="L11" i="2" s="1"/>
  <c r="E10" i="2"/>
  <c r="L10" i="2" s="1"/>
  <c r="E12" i="2"/>
  <c r="L12" i="2" s="1"/>
  <c r="E14" i="2"/>
  <c r="L14" i="2" s="1"/>
  <c r="J13" i="2"/>
  <c r="K13" i="2" s="1"/>
  <c r="H13" i="2"/>
  <c r="F13" i="1"/>
  <c r="F14" i="1"/>
  <c r="C10" i="1"/>
  <c r="I13" i="1" l="1"/>
  <c r="J10" i="2"/>
  <c r="K10" i="2" s="1"/>
  <c r="H10" i="2"/>
  <c r="J11" i="2"/>
  <c r="K11" i="2" s="1"/>
  <c r="H11" i="2"/>
  <c r="J14" i="2"/>
  <c r="K14" i="2" s="1"/>
  <c r="H14" i="2"/>
  <c r="H12" i="2"/>
  <c r="J12" i="2"/>
  <c r="K12" i="2" s="1"/>
  <c r="E13" i="1" l="1"/>
  <c r="L13" i="1" s="1"/>
  <c r="H13" i="1" s="1"/>
  <c r="F11" i="1"/>
  <c r="F12" i="1"/>
  <c r="C14" i="1"/>
  <c r="C9" i="1"/>
  <c r="C11" i="1"/>
  <c r="J13" i="1" l="1"/>
  <c r="K13" i="1" s="1"/>
  <c r="I12" i="1"/>
  <c r="F10" i="1" l="1"/>
  <c r="E12" i="1"/>
  <c r="L12" i="1" s="1"/>
  <c r="E10" i="1" l="1"/>
  <c r="L10" i="1" s="1"/>
  <c r="J12" i="1"/>
  <c r="K12" i="1" s="1"/>
  <c r="H12" i="1"/>
  <c r="I14" i="1"/>
  <c r="I9" i="1"/>
  <c r="I11" i="1"/>
  <c r="I10" i="1" l="1"/>
  <c r="H10" i="1" s="1"/>
  <c r="E14" i="1"/>
  <c r="L14" i="1" s="1"/>
  <c r="H14" i="1" s="1"/>
  <c r="E11" i="1"/>
  <c r="L11" i="1" s="1"/>
  <c r="H11" i="1" s="1"/>
  <c r="E9" i="1"/>
  <c r="L9" i="1" s="1"/>
  <c r="J9" i="1" s="1"/>
  <c r="K9" i="1" s="1"/>
  <c r="C6" i="1"/>
  <c r="J10" i="1" l="1"/>
  <c r="K10" i="1" s="1"/>
  <c r="H9" i="1"/>
  <c r="J11" i="1"/>
  <c r="K11" i="1" s="1"/>
  <c r="J14" i="1" l="1"/>
  <c r="K14" i="1" s="1"/>
</calcChain>
</file>

<file path=xl/sharedStrings.xml><?xml version="1.0" encoding="utf-8"?>
<sst xmlns="http://schemas.openxmlformats.org/spreadsheetml/2006/main" count="145" uniqueCount="31">
  <si>
    <t xml:space="preserve">Dependencia: </t>
  </si>
  <si>
    <t>Frecuencia:</t>
  </si>
  <si>
    <t>Mensual</t>
  </si>
  <si>
    <t>Plazo</t>
  </si>
  <si>
    <t>Prestamo</t>
  </si>
  <si>
    <t>Descuento</t>
  </si>
  <si>
    <t>Pagare</t>
  </si>
  <si>
    <t>Capital</t>
  </si>
  <si>
    <t>*Calculo para fines informativos</t>
  </si>
  <si>
    <t>Calculo por:</t>
  </si>
  <si>
    <t>Tasa Global</t>
  </si>
  <si>
    <t>Interes</t>
  </si>
  <si>
    <t>IVA</t>
  </si>
  <si>
    <t>MONTO</t>
  </si>
  <si>
    <t>PLAZO</t>
  </si>
  <si>
    <t>DESCUENTO</t>
  </si>
  <si>
    <t>TASA</t>
  </si>
  <si>
    <t>TASA SIN IVA</t>
  </si>
  <si>
    <t>*Las tasas globales e insolutas estan en terminos mensuales e incluyen el IVA.</t>
  </si>
  <si>
    <t>Tasa C/IVA</t>
  </si>
  <si>
    <t>Tasa S/IVA</t>
  </si>
  <si>
    <t>Condiciones:
30 meses, monto mínimo 40,000.
36 meses, monto mínimo 20,000.
42 a 60 meses, monto mínimo 5,000.
El monto de prestamo esta en terminos de 1,000.</t>
  </si>
  <si>
    <t>IMSS PLEY/JUB COMPRA GFI APOYO</t>
  </si>
  <si>
    <t>Monto</t>
  </si>
  <si>
    <r>
      <t xml:space="preserve">Condiciones:
30 meses, monto mínimo 40,000.
36 meses, monto mínimo 20,000.
42 a 60 meses, monto mínimo 5,000.
</t>
    </r>
    <r>
      <rPr>
        <b/>
        <sz val="8"/>
        <color rgb="FFFF0000"/>
        <rFont val="Calibri"/>
        <family val="2"/>
        <scheme val="minor"/>
      </rPr>
      <t>El CAT del credito activo debe ser mayor a 37 % y menor a 38.5 %.</t>
    </r>
    <r>
      <rPr>
        <b/>
        <sz val="7"/>
        <color theme="1"/>
        <rFont val="Calibri"/>
        <family val="2"/>
        <scheme val="minor"/>
      </rPr>
      <t xml:space="preserve">
Ej: En caso de que el crédito activo tiene un CAT mayor del 38.5 %, se debe ocupar la calculadora COMPRA 2.37 %
El monto de prestamo esta en terminos de 1,000.</t>
    </r>
  </si>
  <si>
    <r>
      <t xml:space="preserve">Condiciones:
30 meses, monto mínimo 40,000.
36 meses, monto mínimo 20,000.
42 a 60 meses, monto mínimo 5,000.
</t>
    </r>
    <r>
      <rPr>
        <b/>
        <sz val="8"/>
        <color rgb="FFFF0000"/>
        <rFont val="Calibri"/>
        <family val="2"/>
        <scheme val="minor"/>
      </rPr>
      <t>El CAT del credito activo debe ser mayor a 41 % y menor a 45 %.</t>
    </r>
    <r>
      <rPr>
        <b/>
        <sz val="7"/>
        <color theme="1"/>
        <rFont val="Calibri"/>
        <family val="2"/>
        <scheme val="minor"/>
      </rPr>
      <t xml:space="preserve">
Ej: En caso de que el crédito activo tiene un CAT mayor del 45 %, se debe ocupar la calculadora COMPRA 2.71 %.
El monto de prestamo esta en terminos de 1,000.</t>
    </r>
  </si>
  <si>
    <t>TASA ANUAL</t>
  </si>
  <si>
    <t>IMSS PLEY/JUB CREDITO NUEVO GFI APOYO</t>
  </si>
  <si>
    <r>
      <t xml:space="preserve">Condiciones:
30 meses, monto mínimo 40,000.
36 meses, monto mínimo 20,000.
42 a 60 meses, monto mínimo 5,000.
</t>
    </r>
    <r>
      <rPr>
        <b/>
        <sz val="8"/>
        <color rgb="FFFF0000"/>
        <rFont val="Calibri"/>
        <family val="2"/>
        <scheme val="minor"/>
      </rPr>
      <t>El CAT del credito activo debe ser mayor a 38.5 % y menor a 41 %.</t>
    </r>
    <r>
      <rPr>
        <b/>
        <sz val="7"/>
        <color theme="1"/>
        <rFont val="Calibri"/>
        <family val="2"/>
        <scheme val="minor"/>
      </rPr>
      <t xml:space="preserve">
Ej: En caso de que el crédito activo tiene un CAT mayor del 41 %, se debe ocupar la calculadora COMPRA 2.50 %
El monto de prestamo esta en terminos de 1,000.</t>
    </r>
  </si>
  <si>
    <r>
      <t xml:space="preserve">Condiciones:
30 meses, monto mínimo 40,000.
36 meses, monto mínimo 20,000.
42 a 60 meses, monto mínimo 5,000.
</t>
    </r>
    <r>
      <rPr>
        <b/>
        <sz val="8"/>
        <color rgb="FFFF0000"/>
        <rFont val="Calibri"/>
        <family val="2"/>
        <scheme val="minor"/>
      </rPr>
      <t>El CAT del credito activo debe ser mayor a 35.50 % y menor a 37%.
Esta tasa solo aplica para este mes.</t>
    </r>
    <r>
      <rPr>
        <b/>
        <sz val="7"/>
        <color theme="1"/>
        <rFont val="Calibri"/>
        <family val="2"/>
        <scheme val="minor"/>
      </rPr>
      <t xml:space="preserve">
Ej: En caso de que el crédito activo tiene un CAT mayor del 37 %, se debe ocupar la calculadora COMPRA 2.29 %
El monto de prestamo esta en terminos de 1,000.</t>
    </r>
  </si>
  <si>
    <r>
      <t xml:space="preserve">Condiciones:
30 meses, monto mínimo 40,000.
36 meses, monto mínimo 20,000.
42 a 60 meses, monto mínimo 5,000.
</t>
    </r>
    <r>
      <rPr>
        <b/>
        <sz val="8"/>
        <color rgb="FFFF0000"/>
        <rFont val="Calibri"/>
        <family val="2"/>
        <scheme val="minor"/>
      </rPr>
      <t>El CAT del crédito activo debe ser mayor a 32 % y menor a 35.50%.</t>
    </r>
    <r>
      <rPr>
        <b/>
        <sz val="7"/>
        <color theme="1"/>
        <rFont val="Calibri"/>
        <family val="2"/>
        <scheme val="minor"/>
      </rPr>
      <t xml:space="preserve">
Ej: En caso de que el crédito activo tiene un CAT mayor del 35.50 %, se debe ocupar la calculadora COMPRA 2.21 %
El monto de prestamo esta en terminos de 1,000.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</si>
</sst>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-&quot;$&quot;* #,##0.0000_-;\-&quot;$&quot;* #,##0.0000_-;_-&quot;$&quot;* &quot;-&quot;??_-;_-@_-"/>
    <numFmt numFmtId="166" formatCode="[$-80A]General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6" fontId="2" fillId="0" borderId="0"/>
    <xf numFmtId="44" fontId="8" fillId="0" borderId="0" applyFont="0" applyFill="0" applyBorder="0" applyAlignment="0" applyProtection="0"/>
  </cellStyleXfs>
  <cellXfs count="41">
    <xf numFmtId="0" fontId="0" fillId="0" borderId="0" xfId="0"/>
    <xf numFmtId="0" fontId="3" fillId="4" borderId="1" xfId="0" applyFont="1" applyFill="1" applyBorder="1" applyAlignment="1" applyProtection="1">
      <alignment horizontal="center"/>
      <protection locked="0"/>
    </xf>
    <xf numFmtId="0" fontId="0" fillId="4" borderId="0" xfId="0" applyFill="1" applyProtection="1">
      <protection hidden="1"/>
    </xf>
    <xf numFmtId="0" fontId="0" fillId="3" borderId="0" xfId="0" applyFill="1" applyProtection="1">
      <protection hidden="1"/>
    </xf>
    <xf numFmtId="0" fontId="1" fillId="5" borderId="0" xfId="0" applyFont="1" applyFill="1" applyAlignment="1" applyProtection="1">
      <alignment horizontal="center"/>
      <protection hidden="1"/>
    </xf>
    <xf numFmtId="0" fontId="0" fillId="2" borderId="0" xfId="0" applyFill="1" applyAlignment="1" applyProtection="1">
      <alignment horizontal="center"/>
      <protection hidden="1"/>
    </xf>
    <xf numFmtId="44" fontId="0" fillId="2" borderId="0" xfId="0" applyNumberFormat="1" applyFill="1" applyAlignment="1" applyProtection="1">
      <alignment horizontal="center"/>
      <protection hidden="1"/>
    </xf>
    <xf numFmtId="10" fontId="0" fillId="2" borderId="0" xfId="0" applyNumberFormat="1" applyFill="1" applyAlignment="1" applyProtection="1">
      <alignment horizontal="center"/>
      <protection hidden="1"/>
    </xf>
    <xf numFmtId="0" fontId="0" fillId="0" borderId="0" xfId="0" applyProtection="1">
      <protection hidden="1"/>
    </xf>
    <xf numFmtId="44" fontId="5" fillId="0" borderId="0" xfId="0" applyNumberFormat="1" applyFont="1" applyProtection="1">
      <protection locked="0"/>
    </xf>
    <xf numFmtId="0" fontId="6" fillId="3" borderId="0" xfId="0" applyFont="1" applyFill="1" applyProtection="1">
      <protection hidden="1"/>
    </xf>
    <xf numFmtId="0" fontId="7" fillId="3" borderId="0" xfId="0" applyFont="1" applyFill="1" applyProtection="1">
      <protection hidden="1"/>
    </xf>
    <xf numFmtId="0" fontId="7" fillId="0" borderId="0" xfId="0" applyFont="1" applyProtection="1">
      <protection hidden="1"/>
    </xf>
    <xf numFmtId="44" fontId="0" fillId="2" borderId="0" xfId="0" applyNumberFormat="1" applyFill="1" applyAlignment="1">
      <alignment horizontal="center"/>
    </xf>
    <xf numFmtId="0" fontId="9" fillId="4" borderId="0" xfId="0" applyFont="1" applyFill="1" applyProtection="1">
      <protection hidden="1"/>
    </xf>
    <xf numFmtId="10" fontId="0" fillId="4" borderId="0" xfId="0" applyNumberFormat="1" applyFill="1" applyProtection="1">
      <protection hidden="1"/>
    </xf>
    <xf numFmtId="44" fontId="0" fillId="4" borderId="0" xfId="0" applyNumberFormat="1" applyFill="1" applyProtection="1">
      <protection hidden="1"/>
    </xf>
    <xf numFmtId="44" fontId="0" fillId="0" borderId="0" xfId="2" applyFont="1" applyBorder="1"/>
    <xf numFmtId="44" fontId="0" fillId="0" borderId="0" xfId="0" applyNumberFormat="1" applyProtection="1">
      <protection hidden="1"/>
    </xf>
    <xf numFmtId="1" fontId="0" fillId="4" borderId="0" xfId="0" applyNumberFormat="1" applyFill="1" applyProtection="1">
      <protection hidden="1"/>
    </xf>
    <xf numFmtId="1" fontId="0" fillId="0" borderId="0" xfId="0" applyNumberFormat="1" applyProtection="1">
      <protection hidden="1"/>
    </xf>
    <xf numFmtId="0" fontId="12" fillId="4" borderId="0" xfId="0" applyFont="1" applyFill="1" applyProtection="1">
      <protection hidden="1"/>
    </xf>
    <xf numFmtId="44" fontId="0" fillId="0" borderId="0" xfId="0" applyNumberFormat="1"/>
    <xf numFmtId="1" fontId="12" fillId="4" borderId="0" xfId="0" applyNumberFormat="1" applyFont="1" applyFill="1" applyProtection="1">
      <protection hidden="1"/>
    </xf>
    <xf numFmtId="8" fontId="0" fillId="0" borderId="0" xfId="0" applyNumberFormat="1"/>
    <xf numFmtId="0" fontId="0" fillId="6" borderId="0" xfId="0" applyFill="1" applyProtection="1">
      <protection hidden="1"/>
    </xf>
    <xf numFmtId="0" fontId="1" fillId="6" borderId="0" xfId="0" applyFont="1" applyFill="1" applyAlignment="1" applyProtection="1">
      <alignment horizontal="center"/>
      <protection hidden="1"/>
    </xf>
    <xf numFmtId="0" fontId="4" fillId="6" borderId="0" xfId="0" applyFont="1" applyFill="1"/>
    <xf numFmtId="44" fontId="0" fillId="6" borderId="0" xfId="0" applyNumberFormat="1" applyFill="1" applyProtection="1">
      <protection hidden="1"/>
    </xf>
    <xf numFmtId="0" fontId="1" fillId="7" borderId="0" xfId="0" applyFont="1" applyFill="1" applyAlignment="1" applyProtection="1">
      <alignment horizontal="center"/>
      <protection hidden="1"/>
    </xf>
    <xf numFmtId="8" fontId="0" fillId="4" borderId="0" xfId="0" applyNumberFormat="1" applyFill="1" applyProtection="1">
      <protection hidden="1"/>
    </xf>
    <xf numFmtId="0" fontId="1" fillId="6" borderId="0" xfId="0" applyFont="1" applyFill="1" applyAlignment="1" applyProtection="1">
      <alignment horizontal="center"/>
      <protection hidden="1"/>
    </xf>
    <xf numFmtId="165" fontId="0" fillId="6" borderId="0" xfId="0" applyNumberFormat="1" applyFill="1" applyProtection="1">
      <protection hidden="1"/>
    </xf>
    <xf numFmtId="2" fontId="0" fillId="6" borderId="0" xfId="0" applyNumberFormat="1" applyFill="1" applyProtection="1">
      <protection hidden="1"/>
    </xf>
    <xf numFmtId="10" fontId="0" fillId="6" borderId="0" xfId="0" applyNumberFormat="1" applyFill="1" applyProtection="1">
      <protection hidden="1"/>
    </xf>
    <xf numFmtId="164" fontId="0" fillId="6" borderId="0" xfId="0" applyNumberFormat="1" applyFill="1" applyProtection="1">
      <protection hidden="1"/>
    </xf>
    <xf numFmtId="0" fontId="1" fillId="6" borderId="0" xfId="0" applyFont="1" applyFill="1" applyAlignment="1" applyProtection="1">
      <alignment horizontal="center"/>
      <protection hidden="1"/>
    </xf>
    <xf numFmtId="0" fontId="1" fillId="6" borderId="2" xfId="0" applyFont="1" applyFill="1" applyBorder="1" applyAlignment="1" applyProtection="1">
      <alignment horizontal="center"/>
      <protection hidden="1"/>
    </xf>
    <xf numFmtId="0" fontId="10" fillId="4" borderId="0" xfId="0" applyFont="1" applyFill="1" applyAlignment="1" applyProtection="1">
      <alignment horizontal="center" wrapText="1"/>
      <protection hidden="1"/>
    </xf>
    <xf numFmtId="0" fontId="3" fillId="4" borderId="0" xfId="0" applyFont="1" applyFill="1" applyAlignment="1" applyProtection="1">
      <alignment horizontal="center"/>
      <protection hidden="1"/>
    </xf>
    <xf numFmtId="0" fontId="10" fillId="4" borderId="0" xfId="0" applyFont="1" applyFill="1" applyAlignment="1" applyProtection="1">
      <alignment horizontal="center" vertical="center" wrapText="1"/>
      <protection hidden="1"/>
    </xf>
  </cellXfs>
  <cellStyles count="3">
    <cellStyle name="Excel Built-in Normal" xfId="1" xr:uid="{00000000-0005-0000-0000-000000000000}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008E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0"/>
  <sheetViews>
    <sheetView showGridLines="0" tabSelected="1" topLeftCell="B1" zoomScale="115" zoomScaleNormal="115" workbookViewId="0">
      <selection activeCell="E6" sqref="E6"/>
    </sheetView>
  </sheetViews>
  <sheetFormatPr baseColWidth="10" defaultRowHeight="15" x14ac:dyDescent="0.25"/>
  <cols>
    <col min="1" max="1" width="3.140625" style="12" hidden="1" customWidth="1"/>
    <col min="2" max="2" width="2.42578125" style="8" customWidth="1"/>
    <col min="3" max="3" width="11.42578125" style="8"/>
    <col min="4" max="4" width="14.42578125" style="8" bestFit="1" customWidth="1"/>
    <col min="5" max="5" width="17.5703125" style="8" customWidth="1"/>
    <col min="6" max="6" width="13.5703125" style="8" bestFit="1" customWidth="1"/>
    <col min="7" max="7" width="13.5703125" style="8" customWidth="1"/>
    <col min="8" max="8" width="12.7109375" style="8" bestFit="1" customWidth="1"/>
    <col min="9" max="11" width="14.42578125" style="8" bestFit="1" customWidth="1"/>
    <col min="12" max="12" width="16.5703125" style="8" customWidth="1"/>
    <col min="13" max="13" width="1.5703125" style="8" customWidth="1"/>
    <col min="14" max="14" width="11.85546875" style="8" bestFit="1" customWidth="1"/>
    <col min="15" max="36" width="11.42578125" style="8"/>
    <col min="37" max="37" width="6.7109375" style="20" bestFit="1" customWidth="1"/>
    <col min="38" max="39" width="15.7109375" style="18" customWidth="1"/>
    <col min="40" max="40" width="6.42578125" style="8" bestFit="1" customWidth="1"/>
    <col min="41" max="41" width="12.5703125" style="8" bestFit="1" customWidth="1"/>
    <col min="42" max="42" width="12.140625" style="8" bestFit="1" customWidth="1"/>
    <col min="43" max="16384" width="11.42578125" style="8"/>
  </cols>
  <sheetData>
    <row r="1" spans="1:42" s="2" customFormat="1" x14ac:dyDescent="0.25">
      <c r="A1" s="11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AK1" s="23" t="s">
        <v>14</v>
      </c>
      <c r="AL1" s="16" t="s">
        <v>13</v>
      </c>
      <c r="AM1" s="16" t="s">
        <v>15</v>
      </c>
      <c r="AN1" s="2" t="s">
        <v>16</v>
      </c>
      <c r="AO1" s="2" t="s">
        <v>17</v>
      </c>
      <c r="AP1" s="15" t="s">
        <v>26</v>
      </c>
    </row>
    <row r="2" spans="1:42" s="2" customFormat="1" ht="15.75" x14ac:dyDescent="0.25">
      <c r="A2" s="11"/>
      <c r="B2" s="25"/>
      <c r="C2" s="36" t="s">
        <v>0</v>
      </c>
      <c r="D2" s="36"/>
      <c r="E2" s="39" t="s">
        <v>27</v>
      </c>
      <c r="F2" s="39"/>
      <c r="G2" s="39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AK2" s="23">
        <v>30</v>
      </c>
      <c r="AL2" s="16">
        <v>100000</v>
      </c>
      <c r="AM2" s="30">
        <v>5181.29</v>
      </c>
      <c r="AN2" s="15">
        <v>3.0835442441008387E-2</v>
      </c>
      <c r="AO2" s="15">
        <v>2.6582277966386542E-2</v>
      </c>
      <c r="AP2" s="15">
        <f>AO2*12</f>
        <v>0.3189873355966385</v>
      </c>
    </row>
    <row r="3" spans="1:42" s="2" customFormat="1" ht="15" customHeight="1" x14ac:dyDescent="0.25">
      <c r="A3" s="11"/>
      <c r="B3" s="25"/>
      <c r="C3" s="36" t="s">
        <v>1</v>
      </c>
      <c r="D3" s="36"/>
      <c r="E3" s="26" t="s">
        <v>2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AK3" s="23">
        <v>36</v>
      </c>
      <c r="AL3" s="16">
        <v>100000</v>
      </c>
      <c r="AM3" s="30">
        <v>4662.67</v>
      </c>
      <c r="AN3" s="15">
        <v>3.0835442441008387E-2</v>
      </c>
      <c r="AO3" s="15">
        <v>2.6582277966386542E-2</v>
      </c>
      <c r="AP3" s="15">
        <f t="shared" ref="AP3:AP7" si="0">AO3*12</f>
        <v>0.3189873355966385</v>
      </c>
    </row>
    <row r="4" spans="1:42" s="2" customFormat="1" ht="15.75" customHeight="1" x14ac:dyDescent="0.25">
      <c r="A4" s="11"/>
      <c r="B4" s="25"/>
      <c r="C4" s="36" t="s">
        <v>9</v>
      </c>
      <c r="D4" s="37"/>
      <c r="E4" s="1" t="s">
        <v>23</v>
      </c>
      <c r="F4" s="25"/>
      <c r="G4" s="25"/>
      <c r="H4" s="25"/>
      <c r="I4" s="38" t="s">
        <v>21</v>
      </c>
      <c r="J4" s="38"/>
      <c r="K4" s="38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AK4" s="23">
        <v>42</v>
      </c>
      <c r="AL4" s="16">
        <v>100000</v>
      </c>
      <c r="AM4" s="30">
        <v>4304.3500000000004</v>
      </c>
      <c r="AN4" s="15">
        <v>3.0835442441008387E-2</v>
      </c>
      <c r="AO4" s="15">
        <v>2.6582277966386542E-2</v>
      </c>
      <c r="AP4" s="15">
        <f t="shared" si="0"/>
        <v>0.3189873355966385</v>
      </c>
    </row>
    <row r="5" spans="1:42" s="2" customFormat="1" x14ac:dyDescent="0.25">
      <c r="A5" s="11"/>
      <c r="B5" s="25"/>
      <c r="C5" s="26"/>
      <c r="D5" s="26"/>
      <c r="E5" s="26"/>
      <c r="F5" s="25"/>
      <c r="G5" s="25"/>
      <c r="H5" s="25"/>
      <c r="I5" s="38"/>
      <c r="J5" s="38"/>
      <c r="K5" s="38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AK5" s="23">
        <v>48</v>
      </c>
      <c r="AL5" s="16">
        <v>100000</v>
      </c>
      <c r="AM5" s="30">
        <v>4045.78</v>
      </c>
      <c r="AN5" s="15">
        <v>3.0835442441008387E-2</v>
      </c>
      <c r="AO5" s="15">
        <v>2.6582277966386542E-2</v>
      </c>
      <c r="AP5" s="15">
        <f t="shared" si="0"/>
        <v>0.3189873355966385</v>
      </c>
    </row>
    <row r="6" spans="1:42" s="2" customFormat="1" ht="18.75" x14ac:dyDescent="0.3">
      <c r="A6" s="11"/>
      <c r="B6" s="25"/>
      <c r="C6" s="36" t="str">
        <f>IF(E4="MONTO","Ingrese el Monto:","Ingrese la capacidad:")</f>
        <v>Ingrese el Monto:</v>
      </c>
      <c r="D6" s="36"/>
      <c r="E6" s="9">
        <v>200000</v>
      </c>
      <c r="F6" s="25"/>
      <c r="G6" s="25"/>
      <c r="H6" s="25"/>
      <c r="I6" s="38"/>
      <c r="J6" s="38"/>
      <c r="K6" s="38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AK6" s="23">
        <v>54</v>
      </c>
      <c r="AL6" s="16">
        <v>100000</v>
      </c>
      <c r="AM6" s="30">
        <v>3853.27</v>
      </c>
      <c r="AN6" s="15">
        <v>3.0835442441008387E-2</v>
      </c>
      <c r="AO6" s="15">
        <v>2.6582277966386542E-2</v>
      </c>
      <c r="AP6" s="15">
        <f t="shared" si="0"/>
        <v>0.3189873355966385</v>
      </c>
    </row>
    <row r="7" spans="1:42" s="2" customFormat="1" x14ac:dyDescent="0.25">
      <c r="A7" s="11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AK7" s="23">
        <v>60</v>
      </c>
      <c r="AL7" s="16">
        <v>200000</v>
      </c>
      <c r="AM7" s="30">
        <v>7356.43</v>
      </c>
      <c r="AN7" s="15">
        <v>3.0835442441008387E-2</v>
      </c>
      <c r="AO7" s="15">
        <v>2.6582277966386542E-2</v>
      </c>
      <c r="AP7" s="15">
        <f t="shared" si="0"/>
        <v>0.3189873355966385</v>
      </c>
    </row>
    <row r="8" spans="1:42" s="2" customFormat="1" x14ac:dyDescent="0.25">
      <c r="A8" s="11"/>
      <c r="B8" s="25"/>
      <c r="C8" s="29" t="s">
        <v>3</v>
      </c>
      <c r="D8" s="29" t="s">
        <v>4</v>
      </c>
      <c r="E8" s="29" t="s">
        <v>5</v>
      </c>
      <c r="F8" s="29" t="s">
        <v>19</v>
      </c>
      <c r="G8" s="29" t="s">
        <v>20</v>
      </c>
      <c r="H8" s="29" t="s">
        <v>10</v>
      </c>
      <c r="I8" s="29" t="s">
        <v>7</v>
      </c>
      <c r="J8" s="29" t="s">
        <v>11</v>
      </c>
      <c r="K8" s="29" t="s">
        <v>12</v>
      </c>
      <c r="L8" s="29" t="s">
        <v>6</v>
      </c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AK8" s="19"/>
      <c r="AL8" s="16"/>
      <c r="AM8" s="16"/>
      <c r="AN8" s="15"/>
      <c r="AO8" s="15"/>
    </row>
    <row r="9" spans="1:42" s="2" customFormat="1" x14ac:dyDescent="0.25">
      <c r="A9" s="10">
        <v>30</v>
      </c>
      <c r="B9" s="25"/>
      <c r="C9" s="5" t="str">
        <f t="shared" ref="C9:C10" si="1">CONCATENATE(A9," M")</f>
        <v>30 M</v>
      </c>
      <c r="D9" s="13">
        <f>IF(IF($E$4="MONTO",IF((IF(MOD($E$6,1000)=0,$E$6,$E$6-MOD($E$6,1000)))&gt;500000,500000,IF(MOD($E$6,1000)=0,$E$6,$E$6-MOD($E$6,1000))),IF(((1-(1+F9)^(-A9))/(F9))*$E$6&gt;500000,500000,IF(MOD(((1-(1+F9)^(-A9))/(F9))*$E$6,1000)=0,((1-(1+F9)^(-A9))/(F9))*$E$6,((1-(1+F9)^(-A9))/(F9))*$E$6-MOD(((1-(1+F9)^(-A9))/(F9))*$E$6,1000))))&gt;=40000,
IF($E$4="MONTO",IF((IF(MOD($E$6,1000)=0,$E$6,$E$6-MOD($E$6,1000)))&gt;500000,500000,IF(MOD($E$6,1000)=0,$E$6,$E$6-MOD($E$6,1000))),IF(((1-(1+F9)^(-A9))/(F9))*$E$6&gt;500000,500000,IF(MOD(((1-(1+F9)^(-A9))/(F9))*$E$6,1000)=0,((1-(1+F9)^(-A9))/(F9))*$E$6,((1-(1+F9)^(-A9))/(F9))*$E$6-MOD(((1-(1+F9)^(-A9))/(F9))*$E$6,1000)))),
0)</f>
        <v>200000</v>
      </c>
      <c r="E9" s="6">
        <f t="shared" ref="E9:E14" si="2">-PMT(F9,A9,D9,,0)</f>
        <v>10314.352848493252</v>
      </c>
      <c r="F9" s="7">
        <f>VLOOKUP(A9,AK:AO,4,0)</f>
        <v>3.0835442441008387E-2</v>
      </c>
      <c r="G9" s="7">
        <f>VLOOKUP(A9,AK:AO,5,0)</f>
        <v>2.6582277966386542E-2</v>
      </c>
      <c r="H9" s="7">
        <f t="shared" ref="H9:H14" si="3">IFERROR(((L9-I9)/I9)/A9,0)</f>
        <v>1.8238430909132925E-2</v>
      </c>
      <c r="I9" s="6">
        <f t="shared" ref="I9:I14" si="4">D9</f>
        <v>200000</v>
      </c>
      <c r="J9" s="6">
        <f t="shared" ref="J9:J14" si="5">(L9-I9)/1.16</f>
        <v>94336.711598963404</v>
      </c>
      <c r="K9" s="6">
        <f t="shared" ref="K9:K14" si="6">J9*16%</f>
        <v>15093.873855834145</v>
      </c>
      <c r="L9" s="6">
        <f t="shared" ref="L9:L14" si="7">E9*A9</f>
        <v>309430.58545479755</v>
      </c>
      <c r="M9" s="28"/>
      <c r="N9" s="25"/>
      <c r="O9" s="25"/>
      <c r="P9" s="25"/>
      <c r="Q9" s="25"/>
      <c r="R9" s="25"/>
      <c r="S9" s="25"/>
      <c r="T9" s="25"/>
      <c r="U9" s="25"/>
      <c r="V9" s="25"/>
      <c r="W9" s="25"/>
      <c r="AK9" s="19"/>
      <c r="AL9" s="16"/>
      <c r="AM9" s="16"/>
      <c r="AN9" s="15"/>
      <c r="AO9" s="15"/>
    </row>
    <row r="10" spans="1:42" s="2" customFormat="1" x14ac:dyDescent="0.25">
      <c r="A10" s="10">
        <v>36</v>
      </c>
      <c r="B10" s="25"/>
      <c r="C10" s="5" t="str">
        <f t="shared" si="1"/>
        <v>36 M</v>
      </c>
      <c r="D10" s="13">
        <f>IF(IF($E$4="MONTO",IF((IF(MOD($E$6,1000)=0,$E$6,$E$6-MOD($E$6,1000)))&gt;500000,500000,IF(MOD($E$6,1000)=0,$E$6,$E$6-MOD($E$6,1000))),IF(((1-(1+F10)^(-A10))/(F10))*$E$6&gt;500000,500000,IF(MOD(((1-(1+F10)^(-A10))/(F10))*$E$6,1000)=0,((1-(1+F10)^(-A10))/(F10))*$E$6,((1-(1+F10)^(-A10))/(F10))*$E$6-MOD(((1-(1+F10)^(-A10))/(F10))*$E$6,1000))))&gt;=20000,
IF($E$4="MONTO",IF((IF(MOD($E$6,1000)=0,$E$6,$E$6-MOD($E$6,1000)))&gt;500000,500000,IF(MOD($E$6,1000)=0,$E$6,$E$6-MOD($E$6,1000))),IF(((1-(1+F10)^(-A10))/(F10))*$E$6&gt;500000,500000,IF(MOD(((1-(1+F10)^(-A10))/(F10))*$E$6,1000)=0,((1-(1+F10)^(-A10))/(F10))*$E$6,((1-(1+F10)^(-A10))/(F10))*$E$6-MOD(((1-(1+F10)^(-A10))/(F10))*$E$6,1000)))),
0)</f>
        <v>200000</v>
      </c>
      <c r="E10" s="6">
        <f t="shared" si="2"/>
        <v>9275.3116583782139</v>
      </c>
      <c r="F10" s="7">
        <f t="shared" ref="F10:F14" si="8">VLOOKUP(A10,AK:AO,4,0)</f>
        <v>3.0835442441008387E-2</v>
      </c>
      <c r="G10" s="7">
        <f t="shared" ref="G10:G14" si="9">VLOOKUP(A10,AK:AO,5,0)</f>
        <v>2.6582277966386542E-2</v>
      </c>
      <c r="H10" s="7">
        <f t="shared" si="3"/>
        <v>1.8598780514113289E-2</v>
      </c>
      <c r="I10" s="6">
        <f t="shared" si="4"/>
        <v>200000</v>
      </c>
      <c r="J10" s="6">
        <f t="shared" si="5"/>
        <v>115440.70663932388</v>
      </c>
      <c r="K10" s="6">
        <f t="shared" si="6"/>
        <v>18470.513062291822</v>
      </c>
      <c r="L10" s="6">
        <f t="shared" si="7"/>
        <v>333911.21970161569</v>
      </c>
      <c r="M10" s="28"/>
      <c r="N10" s="25"/>
      <c r="O10" s="25"/>
      <c r="P10" s="25"/>
      <c r="Q10" s="25"/>
      <c r="R10" s="25"/>
      <c r="S10" s="25"/>
      <c r="T10" s="25"/>
      <c r="U10" s="25"/>
      <c r="V10" s="25"/>
      <c r="W10" s="25"/>
      <c r="AK10" s="19"/>
      <c r="AL10" s="16"/>
      <c r="AM10" s="16"/>
      <c r="AN10" s="15"/>
      <c r="AO10" s="15"/>
    </row>
    <row r="11" spans="1:42" s="2" customFormat="1" x14ac:dyDescent="0.25">
      <c r="A11" s="10">
        <v>42</v>
      </c>
      <c r="B11" s="25"/>
      <c r="C11" s="5" t="str">
        <f>CONCATENATE(A11," M")</f>
        <v>42 M</v>
      </c>
      <c r="D11" s="13">
        <f>IF(IF($E$4="MONTO",IF((IF(MOD($E$6,1000)=0,$E$6,$E$6-MOD($E$6,1000)))&gt;500000,500000,IF(MOD($E$6,1000)=0,$E$6,$E$6-MOD($E$6,1000))),IF(((1-(1+F11)^(-A11))/(F11))*$E$6&gt;500000,500000,IF(MOD(((1-(1+F11)^(-A11))/(F11))*$E$6,1000)=0,((1-(1+F11)^(-A11))/(F11))*$E$6,((1-(1+F11)^(-A11))/(F11))*$E$6-MOD(((1-(1+F11)^(-A11))/(F11))*$E$6,1000))))&gt;=5000,
IF($E$4="MONTO",IF((IF(MOD($E$6,1000)=0,$E$6,$E$6-MOD($E$6,1000)))&gt;500000,500000,IF(MOD($E$6,1000)=0,$E$6,$E$6-MOD($E$6,1000))),IF(((1-(1+F11)^(-A11))/(F11))*$E$6&gt;500000,500000,IF(MOD(((1-(1+F11)^(-A11))/(F11))*$E$6,1000)=0,((1-(1+F11)^(-A11))/(F11))*$E$6,((1-(1+F11)^(-A11))/(F11))*$E$6-MOD(((1-(1+F11)^(-A11))/(F11))*$E$6,1000)))),
0)</f>
        <v>200000</v>
      </c>
      <c r="E11" s="6">
        <f t="shared" si="2"/>
        <v>8556.9033385302064</v>
      </c>
      <c r="F11" s="7">
        <f t="shared" si="8"/>
        <v>3.0835442441008387E-2</v>
      </c>
      <c r="G11" s="7">
        <f t="shared" si="9"/>
        <v>2.6582277966386542E-2</v>
      </c>
      <c r="H11" s="7">
        <f t="shared" si="3"/>
        <v>1.8974992883127224E-2</v>
      </c>
      <c r="I11" s="6">
        <f t="shared" si="4"/>
        <v>200000</v>
      </c>
      <c r="J11" s="6">
        <f t="shared" si="5"/>
        <v>137405.12087781783</v>
      </c>
      <c r="K11" s="6">
        <f t="shared" si="6"/>
        <v>21984.819340450853</v>
      </c>
      <c r="L11" s="6">
        <f t="shared" si="7"/>
        <v>359389.94021826866</v>
      </c>
      <c r="M11" s="28"/>
      <c r="N11" s="25"/>
      <c r="O11" s="25"/>
      <c r="P11" s="25"/>
      <c r="Q11" s="25"/>
      <c r="R11" s="25"/>
      <c r="S11" s="25"/>
      <c r="T11" s="25"/>
      <c r="U11" s="25"/>
      <c r="V11" s="25"/>
      <c r="W11" s="25"/>
      <c r="AK11" s="19"/>
      <c r="AL11" s="16"/>
      <c r="AM11" s="16"/>
    </row>
    <row r="12" spans="1:42" s="2" customFormat="1" x14ac:dyDescent="0.25">
      <c r="A12" s="10">
        <v>48</v>
      </c>
      <c r="B12" s="25"/>
      <c r="C12" s="5" t="str">
        <f t="shared" ref="C12:C14" si="10">CONCATENATE(A12," M")</f>
        <v>48 M</v>
      </c>
      <c r="D12" s="13">
        <f>IF(IF($E$4="MONTO",IF((IF(MOD($E$6,1000)=0,$E$6,$E$6-MOD($E$6,1000)))&gt;500000,500000,IF(MOD($E$6,1000)=0,$E$6,$E$6-MOD($E$6,1000))),IF(((1-(1+F12)^(-A12))/(F12))*$E$6&gt;500000,500000,IF(MOD(((1-(1+F12)^(-A12))/(F12))*$E$6,1000)=0,((1-(1+F12)^(-A12))/(F12))*$E$6,((1-(1+F12)^(-A12))/(F12))*$E$6-MOD(((1-(1+F12)^(-A12))/(F12))*$E$6,1000))))&gt;=5000,
IF($E$4="MONTO",IF((IF(MOD($E$6,1000)=0,$E$6,$E$6-MOD($E$6,1000)))&gt;500000,500000,IF(MOD($E$6,1000)=0,$E$6,$E$6-MOD($E$6,1000))),IF(((1-(1+F12)^(-A12))/(F12))*$E$6&gt;500000,500000,IF(MOD(((1-(1+F12)^(-A12))/(F12))*$E$6,1000)=0,((1-(1+F12)^(-A12))/(F12))*$E$6,((1-(1+F12)^(-A12))/(F12))*$E$6-MOD(((1-(1+F12)^(-A12))/(F12))*$E$6,1000)))),
0)</f>
        <v>200000</v>
      </c>
      <c r="E12" s="6">
        <f t="shared" si="2"/>
        <v>8038.0355485207274</v>
      </c>
      <c r="F12" s="7">
        <f t="shared" si="8"/>
        <v>3.0835442441008387E-2</v>
      </c>
      <c r="G12" s="7">
        <f t="shared" si="9"/>
        <v>2.6582277966386542E-2</v>
      </c>
      <c r="H12" s="7">
        <f t="shared" si="3"/>
        <v>1.9356844409270307E-2</v>
      </c>
      <c r="I12" s="6">
        <f t="shared" si="4"/>
        <v>200000</v>
      </c>
      <c r="J12" s="6">
        <f t="shared" si="5"/>
        <v>160194.57442154738</v>
      </c>
      <c r="K12" s="6">
        <f t="shared" si="6"/>
        <v>25631.131907447583</v>
      </c>
      <c r="L12" s="6">
        <f t="shared" si="7"/>
        <v>385825.70632899494</v>
      </c>
      <c r="M12" s="28"/>
      <c r="N12" s="25"/>
      <c r="O12" s="25"/>
      <c r="P12" s="25"/>
      <c r="Q12" s="25"/>
      <c r="R12" s="25"/>
      <c r="S12" s="25"/>
      <c r="T12" s="25"/>
      <c r="U12" s="25"/>
      <c r="V12" s="25"/>
      <c r="W12" s="25"/>
      <c r="AK12" s="19"/>
      <c r="AL12" s="16"/>
      <c r="AM12" s="16"/>
    </row>
    <row r="13" spans="1:42" s="2" customFormat="1" x14ac:dyDescent="0.25">
      <c r="A13" s="10">
        <v>54</v>
      </c>
      <c r="B13" s="25"/>
      <c r="C13" s="5" t="str">
        <f t="shared" si="10"/>
        <v>54 M</v>
      </c>
      <c r="D13" s="13">
        <f>IF(IF($E$4="MONTO",IF((IF(MOD($E$6,1000)=0,$E$6,$E$6-MOD($E$6,1000)))&gt;500000,500000,IF(MOD($E$6,1000)=0,$E$6,$E$6-MOD($E$6,1000))),IF(((1-(1+F13)^(-A13))/(F13))*$E$6&gt;500000,500000,IF(MOD(((1-(1+F13)^(-A13))/(F13))*$E$6,1000)=0,((1-(1+F13)^(-A13))/(F13))*$E$6,((1-(1+F13)^(-A13))/(F13))*$E$6-MOD(((1-(1+F13)^(-A13))/(F13))*$E$6,1000))))&gt;=5000,
IF($E$4="MONTO",IF((IF(MOD($E$6,1000)=0,$E$6,$E$6-MOD($E$6,1000)))&gt;500000,500000,IF(MOD($E$6,1000)=0,$E$6,$E$6-MOD($E$6,1000))),IF(((1-(1+F13)^(-A13))/(F13))*$E$6&gt;500000,500000,IF(MOD(((1-(1+F13)^(-A13))/(F13))*$E$6,1000)=0,((1-(1+F13)^(-A13))/(F13))*$E$6,((1-(1+F13)^(-A13))/(F13))*$E$6-MOD(((1-(1+F13)^(-A13))/(F13))*$E$6,1000)))),
0)</f>
        <v>200000</v>
      </c>
      <c r="E13" s="6">
        <f t="shared" si="2"/>
        <v>7651.3634252183056</v>
      </c>
      <c r="F13" s="7">
        <f t="shared" si="8"/>
        <v>3.0835442441008387E-2</v>
      </c>
      <c r="G13" s="7">
        <f t="shared" si="9"/>
        <v>2.6582277966386542E-2</v>
      </c>
      <c r="H13" s="7">
        <f t="shared" si="3"/>
        <v>1.9738298607573007E-2</v>
      </c>
      <c r="I13" s="6">
        <f t="shared" si="4"/>
        <v>200000</v>
      </c>
      <c r="J13" s="6">
        <f t="shared" si="5"/>
        <v>183770.36634636938</v>
      </c>
      <c r="K13" s="6">
        <f t="shared" si="6"/>
        <v>29403.258615419101</v>
      </c>
      <c r="L13" s="6">
        <f t="shared" si="7"/>
        <v>413173.62496178848</v>
      </c>
      <c r="M13" s="28"/>
      <c r="N13" s="25"/>
      <c r="O13" s="25"/>
      <c r="P13" s="25"/>
      <c r="Q13" s="25"/>
      <c r="R13" s="25"/>
      <c r="S13" s="25"/>
      <c r="T13" s="25"/>
      <c r="U13" s="25"/>
      <c r="V13" s="25"/>
      <c r="W13" s="25"/>
      <c r="AK13" s="19"/>
      <c r="AL13" s="16"/>
      <c r="AM13" s="16"/>
    </row>
    <row r="14" spans="1:42" s="2" customFormat="1" x14ac:dyDescent="0.25">
      <c r="A14" s="10">
        <v>60</v>
      </c>
      <c r="B14" s="25"/>
      <c r="C14" s="5" t="str">
        <f t="shared" si="10"/>
        <v>60 M</v>
      </c>
      <c r="D14" s="13">
        <f>IF(IF($E$4="MONTO",IF((IF(MOD($E$6,1000)=0,$E$6,$E$6-MOD($E$6,1000)))&gt;500000,500000,IF(MOD($E$6,1000)=0,$E$6,$E$6-MOD($E$6,1000))),IF(((1-(1+F14)^(-A14))/(F14))*$E$6&gt;500000,500000,IF(MOD(((1-(1+F14)^(-A14))/(F14))*$E$6,1000)=0,((1-(1+F14)^(-A14))/(F14))*$E$6,((1-(1+F14)^(-A14))/(F14))*$E$6-MOD(((1-(1+F14)^(-A14))/(F14))*$E$6,1000))))&gt;=5000,
IF($E$4="MONTO",IF((IF(MOD($E$6,1000)=0,$E$6,$E$6-MOD($E$6,1000)))&gt;500000,500000,IF(MOD($E$6,1000)=0,$E$6,$E$6-MOD($E$6,1000))),IF(((1-(1+F14)^(-A14))/(F14))*$E$6&gt;500000,500000,IF(MOD(((1-(1+F14)^(-A14))/(F14))*$E$6,1000)=0,((1-(1+F14)^(-A14))/(F14))*$E$6,((1-(1+F14)^(-A14))/(F14))*$E$6-MOD(((1-(1+F14)^(-A14))/(F14))*$E$6,1000)))),
0)</f>
        <v>200000</v>
      </c>
      <c r="E14" s="6">
        <f t="shared" si="2"/>
        <v>7356.429999999993</v>
      </c>
      <c r="F14" s="7">
        <f t="shared" si="8"/>
        <v>3.0835442441008387E-2</v>
      </c>
      <c r="G14" s="7">
        <f t="shared" si="9"/>
        <v>2.6582277966386542E-2</v>
      </c>
      <c r="H14" s="7">
        <f t="shared" si="3"/>
        <v>2.0115483333333298E-2</v>
      </c>
      <c r="I14" s="6">
        <f t="shared" si="4"/>
        <v>200000</v>
      </c>
      <c r="J14" s="6">
        <f t="shared" si="5"/>
        <v>208091.20689655139</v>
      </c>
      <c r="K14" s="6">
        <f t="shared" si="6"/>
        <v>33294.59310344822</v>
      </c>
      <c r="L14" s="6">
        <f t="shared" si="7"/>
        <v>441385.79999999958</v>
      </c>
      <c r="M14" s="28"/>
      <c r="N14" s="25"/>
      <c r="O14" s="25"/>
      <c r="P14" s="25"/>
      <c r="Q14" s="25"/>
      <c r="R14" s="25"/>
      <c r="S14" s="25"/>
      <c r="T14" s="25"/>
      <c r="U14" s="25"/>
      <c r="V14" s="25"/>
      <c r="W14" s="25"/>
      <c r="AK14" s="19"/>
      <c r="AL14" s="16"/>
      <c r="AM14" s="16"/>
    </row>
    <row r="15" spans="1:42" s="2" customFormat="1" x14ac:dyDescent="0.25">
      <c r="A15" s="11"/>
      <c r="B15" s="25"/>
      <c r="C15" s="27" t="s">
        <v>8</v>
      </c>
      <c r="D15" s="25"/>
      <c r="E15" s="25"/>
      <c r="F15" s="25"/>
      <c r="G15" s="25"/>
      <c r="H15" s="25"/>
      <c r="I15" s="25"/>
      <c r="J15" s="25"/>
      <c r="K15" s="25"/>
      <c r="L15" s="25"/>
      <c r="M15" s="28"/>
      <c r="N15" s="25"/>
      <c r="O15" s="25"/>
      <c r="P15" s="25"/>
      <c r="Q15" s="25"/>
      <c r="R15" s="25"/>
      <c r="S15" s="25"/>
      <c r="T15" s="25"/>
      <c r="U15" s="25"/>
      <c r="V15" s="25"/>
      <c r="W15" s="25"/>
      <c r="AK15" s="19"/>
      <c r="AL15" s="16"/>
      <c r="AM15" s="16"/>
      <c r="AN15" s="15"/>
      <c r="AO15" s="15"/>
    </row>
    <row r="16" spans="1:42" s="2" customFormat="1" x14ac:dyDescent="0.25">
      <c r="A16" s="11"/>
      <c r="B16" s="25"/>
      <c r="C16" s="27" t="s">
        <v>18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AK16" s="19"/>
      <c r="AL16" s="16"/>
      <c r="AM16" s="16"/>
      <c r="AN16" s="15"/>
      <c r="AO16" s="15"/>
    </row>
    <row r="17" spans="1:41" s="2" customFormat="1" x14ac:dyDescent="0.25">
      <c r="A17" s="11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AK17" s="19"/>
      <c r="AL17" s="16"/>
      <c r="AM17" s="16"/>
      <c r="AN17" s="15"/>
      <c r="AO17" s="15"/>
    </row>
    <row r="18" spans="1:41" s="2" customFormat="1" x14ac:dyDescent="0.25">
      <c r="A18" s="11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AK18" s="19"/>
      <c r="AL18" s="16"/>
      <c r="AM18" s="16"/>
      <c r="AN18" s="15"/>
      <c r="AO18" s="15"/>
    </row>
    <row r="19" spans="1:41" s="2" customFormat="1" x14ac:dyDescent="0.25">
      <c r="A19" s="11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AK19" s="19"/>
      <c r="AL19" s="16"/>
      <c r="AM19" s="16"/>
      <c r="AN19" s="15"/>
      <c r="AO19" s="15"/>
    </row>
    <row r="20" spans="1:41" s="2" customFormat="1" x14ac:dyDescent="0.25">
      <c r="A20" s="11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AK20" s="19"/>
      <c r="AL20" s="16"/>
      <c r="AM20" s="16"/>
    </row>
    <row r="21" spans="1:41" s="2" customFormat="1" x14ac:dyDescent="0.25">
      <c r="A21" s="11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AK21" s="19"/>
      <c r="AL21" s="16"/>
      <c r="AM21" s="16"/>
    </row>
    <row r="22" spans="1:41" s="2" customFormat="1" x14ac:dyDescent="0.25">
      <c r="A22" s="11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AK22" s="19"/>
      <c r="AL22" s="16"/>
      <c r="AM22" s="16"/>
    </row>
    <row r="23" spans="1:41" s="2" customFormat="1" x14ac:dyDescent="0.25">
      <c r="A23" s="11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AK23" s="19"/>
      <c r="AL23" s="16"/>
      <c r="AM23" s="16"/>
    </row>
    <row r="24" spans="1:41" s="2" customFormat="1" x14ac:dyDescent="0.25">
      <c r="A24" s="11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AK24" s="19"/>
      <c r="AL24" s="16"/>
      <c r="AM24" s="16"/>
    </row>
    <row r="25" spans="1:41" s="2" customFormat="1" x14ac:dyDescent="0.25">
      <c r="A25" s="1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AK25" s="19"/>
      <c r="AL25" s="16"/>
      <c r="AM25" s="16"/>
    </row>
    <row r="26" spans="1:41" x14ac:dyDescent="0.25">
      <c r="A26" s="11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</row>
    <row r="27" spans="1:41" x14ac:dyDescent="0.25">
      <c r="A27" s="11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</row>
    <row r="28" spans="1:41" x14ac:dyDescent="0.25">
      <c r="A28" s="11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</row>
    <row r="29" spans="1:41" x14ac:dyDescent="0.25">
      <c r="A29" s="11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1:41" x14ac:dyDescent="0.25">
      <c r="A30" s="11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1:41" x14ac:dyDescent="0.25">
      <c r="A31" s="11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41" x14ac:dyDescent="0.25">
      <c r="A32" s="11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23" x14ac:dyDescent="0.25">
      <c r="A33" s="11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</row>
    <row r="34" spans="1:23" x14ac:dyDescent="0.25">
      <c r="A34" s="1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</row>
    <row r="35" spans="1:23" x14ac:dyDescent="0.25">
      <c r="A35" s="1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</row>
    <row r="36" spans="1:23" x14ac:dyDescent="0.25">
      <c r="A36" s="1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 s="1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 s="1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 s="1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5">
      <c r="A40" s="1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5">
      <c r="A41" s="1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25">
      <c r="A42" s="1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25">
      <c r="A43" s="1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5">
      <c r="A44" s="1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5">
      <c r="A45" s="1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5">
      <c r="A46" s="1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25">
      <c r="A47" s="1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5">
      <c r="A48" s="1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5">
      <c r="A49" s="1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25">
      <c r="A50" s="1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</sheetData>
  <sheetProtection algorithmName="SHA-512" hashValue="R+uXdo2k5vrlIJyvwy9BQe87pSwIKMB8UZDGycsLDoQX0thtRskz7P3PfvlJG3JZ9Ba1XwYEiD9YGiWSgzL06w==" saltValue="ZA6xwGqBYP9qNRqO5x8VDw==" spinCount="100000" sheet="1" objects="1" scenarios="1" selectLockedCells="1"/>
  <mergeCells count="6">
    <mergeCell ref="C2:D2"/>
    <mergeCell ref="C3:D3"/>
    <mergeCell ref="C4:D4"/>
    <mergeCell ref="I4:K6"/>
    <mergeCell ref="C6:D6"/>
    <mergeCell ref="E2:G2"/>
  </mergeCells>
  <dataValidations count="1">
    <dataValidation type="list" allowBlank="1" showInputMessage="1" showErrorMessage="1" sqref="E4" xr:uid="{00000000-0002-0000-0000-000000000000}">
      <formula1>"Monto, Capacidad"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50"/>
  <sheetViews>
    <sheetView showGridLines="0" topLeftCell="B1" zoomScale="115" zoomScaleNormal="115" workbookViewId="0">
      <selection activeCell="E6" sqref="E6"/>
    </sheetView>
  </sheetViews>
  <sheetFormatPr baseColWidth="10" defaultRowHeight="15" x14ac:dyDescent="0.25"/>
  <cols>
    <col min="1" max="1" width="3.140625" style="12" hidden="1" customWidth="1"/>
    <col min="2" max="2" width="2.42578125" style="8" customWidth="1"/>
    <col min="3" max="3" width="11.42578125" style="8"/>
    <col min="4" max="4" width="14.42578125" style="8" bestFit="1" customWidth="1"/>
    <col min="5" max="5" width="17.5703125" style="8" customWidth="1"/>
    <col min="6" max="6" width="13.5703125" style="8" bestFit="1" customWidth="1"/>
    <col min="7" max="7" width="13.5703125" style="8" customWidth="1"/>
    <col min="8" max="8" width="12.7109375" style="8" bestFit="1" customWidth="1"/>
    <col min="9" max="11" width="14.42578125" style="8" bestFit="1" customWidth="1"/>
    <col min="12" max="12" width="14.28515625" style="8" customWidth="1"/>
    <col min="13" max="13" width="1.5703125" style="8" customWidth="1"/>
    <col min="14" max="14" width="11.85546875" style="8" bestFit="1" customWidth="1"/>
    <col min="15" max="36" width="11.42578125" style="8"/>
    <col min="37" max="37" width="6.7109375" style="8" bestFit="1" customWidth="1"/>
    <col min="38" max="38" width="13.42578125" style="18" bestFit="1" customWidth="1"/>
    <col min="39" max="39" width="13" style="18" bestFit="1" customWidth="1"/>
    <col min="40" max="40" width="6.42578125" style="8" bestFit="1" customWidth="1"/>
    <col min="41" max="41" width="12.5703125" style="8" bestFit="1" customWidth="1"/>
    <col min="42" max="16384" width="11.42578125" style="8"/>
  </cols>
  <sheetData>
    <row r="1" spans="1:41" s="2" customFormat="1" x14ac:dyDescent="0.25">
      <c r="A1" s="11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AK1" s="14" t="s">
        <v>14</v>
      </c>
      <c r="AL1" s="16" t="s">
        <v>13</v>
      </c>
      <c r="AM1" s="16" t="s">
        <v>15</v>
      </c>
      <c r="AN1" s="2" t="s">
        <v>16</v>
      </c>
      <c r="AO1" s="2" t="s">
        <v>17</v>
      </c>
    </row>
    <row r="2" spans="1:41" s="2" customFormat="1" ht="15.75" x14ac:dyDescent="0.25">
      <c r="A2" s="11"/>
      <c r="B2" s="25"/>
      <c r="C2" s="36" t="s">
        <v>0</v>
      </c>
      <c r="D2" s="36"/>
      <c r="E2" s="39" t="s">
        <v>22</v>
      </c>
      <c r="F2" s="39"/>
      <c r="G2" s="39"/>
      <c r="H2" s="25"/>
      <c r="I2" s="40" t="s">
        <v>25</v>
      </c>
      <c r="J2" s="40"/>
      <c r="K2" s="40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AK2" s="14">
        <v>30</v>
      </c>
      <c r="AL2" s="16">
        <v>500000</v>
      </c>
      <c r="AM2" s="17">
        <v>25196.202781279037</v>
      </c>
      <c r="AN2" s="15">
        <f>RATE(AK2,AM2,-AL2,0,0)</f>
        <v>2.904643353558832E-2</v>
      </c>
      <c r="AO2" s="15">
        <f>AN2/1.16</f>
        <v>2.5040028909989933E-2</v>
      </c>
    </row>
    <row r="3" spans="1:41" s="2" customFormat="1" ht="15" customHeight="1" x14ac:dyDescent="0.25">
      <c r="A3" s="11"/>
      <c r="B3" s="25"/>
      <c r="C3" s="36" t="s">
        <v>1</v>
      </c>
      <c r="D3" s="36"/>
      <c r="E3" s="31" t="s">
        <v>2</v>
      </c>
      <c r="F3" s="25"/>
      <c r="G3" s="25"/>
      <c r="H3" s="25"/>
      <c r="I3" s="40"/>
      <c r="J3" s="40"/>
      <c r="K3" s="40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AK3" s="14">
        <v>36</v>
      </c>
      <c r="AL3" s="16">
        <v>500000</v>
      </c>
      <c r="AM3" s="17">
        <v>22577.210768731209</v>
      </c>
      <c r="AN3" s="15">
        <f>RATE(AK3,AM3,-AL3,0,0)</f>
        <v>2.9046433535588216E-2</v>
      </c>
      <c r="AO3" s="15">
        <f>AN3/1.16</f>
        <v>2.5040028909989843E-2</v>
      </c>
    </row>
    <row r="4" spans="1:41" s="2" customFormat="1" ht="15.75" customHeight="1" x14ac:dyDescent="0.25">
      <c r="A4" s="11"/>
      <c r="B4" s="25"/>
      <c r="C4" s="36" t="s">
        <v>9</v>
      </c>
      <c r="D4" s="37"/>
      <c r="E4" s="1" t="s">
        <v>23</v>
      </c>
      <c r="F4" s="25"/>
      <c r="G4" s="25"/>
      <c r="H4" s="33"/>
      <c r="I4" s="40"/>
      <c r="J4" s="40"/>
      <c r="K4" s="40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AK4" s="14">
        <v>42</v>
      </c>
      <c r="AL4" s="16">
        <v>500000</v>
      </c>
      <c r="AM4" s="17">
        <v>20759.956540300034</v>
      </c>
      <c r="AN4" s="15">
        <f>RATE(AK4,AM4,-AL4,0,0)</f>
        <v>2.9046433535588636E-2</v>
      </c>
      <c r="AO4" s="15">
        <f>AN4/1.16</f>
        <v>2.5040028909990204E-2</v>
      </c>
    </row>
    <row r="5" spans="1:41" s="2" customFormat="1" x14ac:dyDescent="0.25">
      <c r="A5" s="11"/>
      <c r="B5" s="25"/>
      <c r="C5" s="31"/>
      <c r="D5" s="31"/>
      <c r="E5" s="25"/>
      <c r="F5" s="25"/>
      <c r="G5" s="25"/>
      <c r="H5" s="33"/>
      <c r="I5" s="40"/>
      <c r="J5" s="40"/>
      <c r="K5" s="40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AK5" s="14">
        <v>48</v>
      </c>
      <c r="AL5" s="16">
        <v>500000</v>
      </c>
      <c r="AM5" s="17">
        <v>19442.069858700168</v>
      </c>
      <c r="AN5" s="15">
        <f>RATE(AK5,AM5,-AL5,0,0)</f>
        <v>2.9046433535588365E-2</v>
      </c>
      <c r="AO5" s="15">
        <f>AN5/1.16</f>
        <v>2.5040028909989971E-2</v>
      </c>
    </row>
    <row r="6" spans="1:41" s="2" customFormat="1" ht="18.75" x14ac:dyDescent="0.3">
      <c r="A6" s="11"/>
      <c r="B6" s="25"/>
      <c r="C6" s="36" t="str">
        <f>IF(E4="MONTO","Ingrese el Monto:","Ingrese la capacidad:")</f>
        <v>Ingrese el Monto:</v>
      </c>
      <c r="D6" s="36"/>
      <c r="E6" s="9">
        <v>200000</v>
      </c>
      <c r="F6" s="25"/>
      <c r="G6" s="25"/>
      <c r="H6" s="33"/>
      <c r="I6" s="40"/>
      <c r="J6" s="40"/>
      <c r="K6" s="40"/>
      <c r="L6" s="32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AK6" s="14">
        <v>54</v>
      </c>
      <c r="AL6" s="16">
        <v>500000</v>
      </c>
      <c r="AM6" s="17">
        <v>18455.414235000982</v>
      </c>
      <c r="AN6" s="15">
        <f t="shared" ref="AN6:AN7" si="0">RATE(AK6,AM6,-AL6,0,0)</f>
        <v>2.9046433535588376E-2</v>
      </c>
      <c r="AO6" s="15">
        <f t="shared" ref="AO6:AO7" si="1">AN6/1.16</f>
        <v>2.5040028909989982E-2</v>
      </c>
    </row>
    <row r="7" spans="1:41" s="2" customFormat="1" x14ac:dyDescent="0.25">
      <c r="A7" s="11"/>
      <c r="B7" s="25"/>
      <c r="C7" s="25"/>
      <c r="D7" s="25"/>
      <c r="E7" s="25"/>
      <c r="F7" s="33"/>
      <c r="G7" s="33"/>
      <c r="H7" s="33"/>
      <c r="I7" s="34"/>
      <c r="J7" s="3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AK7" s="14">
        <v>60</v>
      </c>
      <c r="AL7" s="16">
        <v>500000</v>
      </c>
      <c r="AM7" s="17">
        <v>17698.996155943387</v>
      </c>
      <c r="AN7" s="15">
        <f t="shared" si="0"/>
        <v>2.9046433535588497E-2</v>
      </c>
      <c r="AO7" s="15">
        <f t="shared" si="1"/>
        <v>2.5040028909990086E-2</v>
      </c>
    </row>
    <row r="8" spans="1:41" s="2" customFormat="1" x14ac:dyDescent="0.25">
      <c r="A8" s="11"/>
      <c r="B8" s="25"/>
      <c r="C8" s="4" t="s">
        <v>3</v>
      </c>
      <c r="D8" s="4" t="s">
        <v>4</v>
      </c>
      <c r="E8" s="4" t="s">
        <v>5</v>
      </c>
      <c r="F8" s="4" t="s">
        <v>19</v>
      </c>
      <c r="G8" s="4" t="s">
        <v>20</v>
      </c>
      <c r="H8" s="4" t="s">
        <v>10</v>
      </c>
      <c r="I8" s="4" t="s">
        <v>7</v>
      </c>
      <c r="J8" s="4" t="s">
        <v>11</v>
      </c>
      <c r="K8" s="4" t="s">
        <v>12</v>
      </c>
      <c r="L8" s="4" t="s">
        <v>6</v>
      </c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AL8" s="16"/>
      <c r="AM8" s="16"/>
      <c r="AN8" s="15"/>
      <c r="AO8" s="15"/>
    </row>
    <row r="9" spans="1:41" s="2" customFormat="1" x14ac:dyDescent="0.25">
      <c r="A9" s="10">
        <v>30</v>
      </c>
      <c r="B9" s="25"/>
      <c r="C9" s="5" t="str">
        <f t="shared" ref="C9:C10" si="2">CONCATENATE(A9," M")</f>
        <v>30 M</v>
      </c>
      <c r="D9" s="13">
        <f>IF(IF($E$4="MONTO",IF((IF(MOD($E$6,1000)=0,$E$6,$E$6-MOD($E$6,1000)))&gt;500000,500000,IF(MOD($E$6,1000)=0,$E$6,$E$6-MOD($E$6,1000))),IF(((1-(1+F9)^(-A9))/(F9))*$E$6&gt;500000,500000,IF(MOD(((1-(1+F9)^(-A9))/(F9))*$E$6,1000)=0,((1-(1+F9)^(-A9))/(F9))*$E$6,((1-(1+F9)^(-A9))/(F9))*$E$6-MOD(((1-(1+F9)^(-A9))/(F9))*$E$6,1000))))&gt;=40000,
IF($E$4="MONTO",IF((IF(MOD($E$6,1000)=0,$E$6,$E$6-MOD($E$6,1000)))&gt;500000,500000,IF(MOD($E$6,1000)=0,$E$6,$E$6-MOD($E$6,1000))),IF(((1-(1+F9)^(-A9))/(F9))*$E$6&gt;500000,500000,IF(MOD(((1-(1+F9)^(-A9))/(F9))*$E$6,1000)=0,((1-(1+F9)^(-A9))/(F9))*$E$6,((1-(1+F9)^(-A9))/(F9))*$E$6-MOD(((1-(1+F9)^(-A9))/(F9))*$E$6,1000)))),
0)</f>
        <v>200000</v>
      </c>
      <c r="E9" s="6">
        <f t="shared" ref="E9:E14" si="3">-PMT(F9,A9,D9,,0)</f>
        <v>10078.481112511605</v>
      </c>
      <c r="F9" s="7">
        <f t="shared" ref="F9:F14" si="4">VLOOKUP(A9,AK:AO,4,0)</f>
        <v>2.904643353558832E-2</v>
      </c>
      <c r="G9" s="7">
        <f t="shared" ref="G9:G14" si="5">VLOOKUP(A9,AK:AO,5,0)</f>
        <v>2.5040028909989933E-2</v>
      </c>
      <c r="H9" s="7">
        <f t="shared" ref="H9:H14" si="6">IFERROR(((L9-I9)/I9)/A9,0)</f>
        <v>1.7059072229224693E-2</v>
      </c>
      <c r="I9" s="6">
        <f t="shared" ref="I9:I14" si="7">D9</f>
        <v>200000</v>
      </c>
      <c r="J9" s="6">
        <f t="shared" ref="J9:J14" si="8">(L9-I9)/1.16</f>
        <v>88236.580495989794</v>
      </c>
      <c r="K9" s="6">
        <f t="shared" ref="K9:K14" si="9">J9*16%</f>
        <v>14117.852879358368</v>
      </c>
      <c r="L9" s="6">
        <f t="shared" ref="L9:L14" si="10">E9*A9</f>
        <v>302354.43337534816</v>
      </c>
      <c r="M9" s="28"/>
      <c r="N9" s="25"/>
      <c r="O9" s="25"/>
      <c r="P9" s="25"/>
      <c r="Q9" s="25"/>
      <c r="R9" s="25"/>
      <c r="S9" s="25"/>
      <c r="T9" s="25"/>
      <c r="U9" s="25"/>
      <c r="V9" s="25"/>
      <c r="W9" s="25"/>
      <c r="AL9" s="16"/>
      <c r="AM9" s="16"/>
      <c r="AN9" s="15"/>
      <c r="AO9" s="15"/>
    </row>
    <row r="10" spans="1:41" s="2" customFormat="1" x14ac:dyDescent="0.25">
      <c r="A10" s="10">
        <v>36</v>
      </c>
      <c r="B10" s="25"/>
      <c r="C10" s="5" t="str">
        <f t="shared" si="2"/>
        <v>36 M</v>
      </c>
      <c r="D10" s="13">
        <f>IF(IF($E$4="MONTO",IF((IF(MOD($E$6,1000)=0,$E$6,$E$6-MOD($E$6,1000)))&gt;500000,500000,IF(MOD($E$6,1000)=0,$E$6,$E$6-MOD($E$6,1000))),IF(((1-(1+F10)^(-A10))/(F10))*$E$6&gt;500000,500000,IF(MOD(((1-(1+F10)^(-A10))/(F10))*$E$6,1000)=0,((1-(1+F10)^(-A10))/(F10))*$E$6,((1-(1+F10)^(-A10))/(F10))*$E$6-MOD(((1-(1+F10)^(-A10))/(F10))*$E$6,1000))))&gt;=20000,
IF($E$4="MONTO",IF((IF(MOD($E$6,1000)=0,$E$6,$E$6-MOD($E$6,1000)))&gt;500000,500000,IF(MOD($E$6,1000)=0,$E$6,$E$6-MOD($E$6,1000))),IF(((1-(1+F10)^(-A10))/(F10))*$E$6&gt;500000,500000,IF(MOD(((1-(1+F10)^(-A10))/(F10))*$E$6,1000)=0,((1-(1+F10)^(-A10))/(F10))*$E$6,((1-(1+F10)^(-A10))/(F10))*$E$6-MOD(((1-(1+F10)^(-A10))/(F10))*$E$6,1000)))),
0)</f>
        <v>200000</v>
      </c>
      <c r="E10" s="6">
        <f t="shared" si="3"/>
        <v>9030.8843074924589</v>
      </c>
      <c r="F10" s="7">
        <f t="shared" si="4"/>
        <v>2.9046433535588216E-2</v>
      </c>
      <c r="G10" s="7">
        <f t="shared" si="5"/>
        <v>2.5040028909989843E-2</v>
      </c>
      <c r="H10" s="7">
        <f t="shared" si="6"/>
        <v>1.7376643759684521E-2</v>
      </c>
      <c r="I10" s="6">
        <f t="shared" si="7"/>
        <v>200000</v>
      </c>
      <c r="J10" s="6">
        <f t="shared" si="8"/>
        <v>107855.03023252462</v>
      </c>
      <c r="K10" s="6">
        <f t="shared" si="9"/>
        <v>17256.804837203937</v>
      </c>
      <c r="L10" s="6">
        <f t="shared" si="10"/>
        <v>325111.83506972855</v>
      </c>
      <c r="M10" s="28"/>
      <c r="N10" s="25"/>
      <c r="O10" s="25"/>
      <c r="P10" s="25"/>
      <c r="Q10" s="25"/>
      <c r="R10" s="25"/>
      <c r="S10" s="25"/>
      <c r="T10" s="25"/>
      <c r="U10" s="25"/>
      <c r="V10" s="25"/>
      <c r="W10" s="25"/>
      <c r="AL10" s="16"/>
      <c r="AM10" s="16"/>
      <c r="AN10" s="15"/>
      <c r="AO10" s="15"/>
    </row>
    <row r="11" spans="1:41" s="2" customFormat="1" x14ac:dyDescent="0.25">
      <c r="A11" s="10">
        <v>42</v>
      </c>
      <c r="B11" s="25"/>
      <c r="C11" s="5" t="str">
        <f>CONCATENATE(A11," M")</f>
        <v>42 M</v>
      </c>
      <c r="D11" s="13">
        <f>IF(IF($E$4="MONTO",IF((IF(MOD($E$6,1000)=0,$E$6,$E$6-MOD($E$6,1000)))&gt;500000,500000,IF(MOD($E$6,1000)=0,$E$6,$E$6-MOD($E$6,1000))),IF(((1-(1+F11)^(-A11))/(F11))*$E$6&gt;500000,500000,IF(MOD(((1-(1+F11)^(-A11))/(F11))*$E$6,1000)=0,((1-(1+F11)^(-A11))/(F11))*$E$6,((1-(1+F11)^(-A11))/(F11))*$E$6-MOD(((1-(1+F11)^(-A11))/(F11))*$E$6,1000))))&gt;=5000,
IF($E$4="MONTO",IF((IF(MOD($E$6,1000)=0,$E$6,$E$6-MOD($E$6,1000)))&gt;500000,500000,IF(MOD($E$6,1000)=0,$E$6,$E$6-MOD($E$6,1000))),IF(((1-(1+F11)^(-A11))/(F11))*$E$6&gt;500000,500000,IF(MOD(((1-(1+F11)^(-A11))/(F11))*$E$6,1000)=0,((1-(1+F11)^(-A11))/(F11))*$E$6,((1-(1+F11)^(-A11))/(F11))*$E$6-MOD(((1-(1+F11)^(-A11))/(F11))*$E$6,1000)))),
0)</f>
        <v>200000</v>
      </c>
      <c r="E11" s="6">
        <f t="shared" si="3"/>
        <v>8303.9826161200472</v>
      </c>
      <c r="F11" s="7">
        <f t="shared" si="4"/>
        <v>2.9046433535588636E-2</v>
      </c>
      <c r="G11" s="7">
        <f t="shared" si="5"/>
        <v>2.5040028909990204E-2</v>
      </c>
      <c r="H11" s="7">
        <f t="shared" si="6"/>
        <v>1.7710389271076425E-2</v>
      </c>
      <c r="I11" s="6">
        <f t="shared" si="7"/>
        <v>200000</v>
      </c>
      <c r="J11" s="6">
        <f t="shared" si="8"/>
        <v>128247.64644572586</v>
      </c>
      <c r="K11" s="6">
        <f t="shared" si="9"/>
        <v>20519.623431316137</v>
      </c>
      <c r="L11" s="6">
        <f t="shared" si="10"/>
        <v>348767.26987704198</v>
      </c>
      <c r="M11" s="28"/>
      <c r="N11" s="25"/>
      <c r="O11" s="25"/>
      <c r="P11" s="25"/>
      <c r="Q11" s="25"/>
      <c r="R11" s="25"/>
      <c r="S11" s="25"/>
      <c r="T11" s="25"/>
      <c r="U11" s="25"/>
      <c r="V11" s="25"/>
      <c r="W11" s="25"/>
      <c r="AL11" s="16"/>
      <c r="AM11" s="16"/>
    </row>
    <row r="12" spans="1:41" s="2" customFormat="1" x14ac:dyDescent="0.25">
      <c r="A12" s="10">
        <v>48</v>
      </c>
      <c r="B12" s="25"/>
      <c r="C12" s="5" t="str">
        <f t="shared" ref="C12:C13" si="11">CONCATENATE(A12," M")</f>
        <v>48 M</v>
      </c>
      <c r="D12" s="13">
        <f>IF(IF($E$4="MONTO",IF((IF(MOD($E$6,1000)=0,$E$6,$E$6-MOD($E$6,1000)))&gt;500000,500000,IF(MOD($E$6,1000)=0,$E$6,$E$6-MOD($E$6,1000))),IF(((1-(1+F12)^(-A12))/(F12))*$E$6&gt;500000,500000,IF(MOD(((1-(1+F12)^(-A12))/(F12))*$E$6,1000)=0,((1-(1+F12)^(-A12))/(F12))*$E$6,((1-(1+F12)^(-A12))/(F12))*$E$6-MOD(((1-(1+F12)^(-A12))/(F12))*$E$6,1000))))&gt;=5000,
IF($E$4="MONTO",IF((IF(MOD($E$6,1000)=0,$E$6,$E$6-MOD($E$6,1000)))&gt;500000,500000,IF(MOD($E$6,1000)=0,$E$6,$E$6-MOD($E$6,1000))),IF(((1-(1+F12)^(-A12))/(F12))*$E$6&gt;500000,500000,IF(MOD(((1-(1+F12)^(-A12))/(F12))*$E$6,1000)=0,((1-(1+F12)^(-A12))/(F12))*$E$6,((1-(1+F12)^(-A12))/(F12))*$E$6-MOD(((1-(1+F12)^(-A12))/(F12))*$E$6,1000)))),
0)</f>
        <v>200000</v>
      </c>
      <c r="E12" s="6">
        <f t="shared" si="3"/>
        <v>7776.8279434800634</v>
      </c>
      <c r="F12" s="7">
        <f t="shared" si="4"/>
        <v>2.9046433535588365E-2</v>
      </c>
      <c r="G12" s="7">
        <f t="shared" si="5"/>
        <v>2.5040028909989971E-2</v>
      </c>
      <c r="H12" s="7">
        <f t="shared" si="6"/>
        <v>1.8050806384066982E-2</v>
      </c>
      <c r="I12" s="6">
        <f t="shared" si="7"/>
        <v>200000</v>
      </c>
      <c r="J12" s="6">
        <f t="shared" si="8"/>
        <v>149385.98386814055</v>
      </c>
      <c r="K12" s="6">
        <f t="shared" si="9"/>
        <v>23901.757418902489</v>
      </c>
      <c r="L12" s="6">
        <f t="shared" si="10"/>
        <v>373287.74128704303</v>
      </c>
      <c r="M12" s="28"/>
      <c r="N12" s="25"/>
      <c r="O12" s="25"/>
      <c r="P12" s="25"/>
      <c r="Q12" s="25"/>
      <c r="R12" s="25"/>
      <c r="S12" s="25"/>
      <c r="T12" s="25"/>
      <c r="U12" s="25"/>
      <c r="V12" s="25"/>
      <c r="W12" s="25"/>
      <c r="AL12" s="16"/>
      <c r="AM12" s="16"/>
    </row>
    <row r="13" spans="1:41" s="2" customFormat="1" x14ac:dyDescent="0.25">
      <c r="A13" s="10">
        <v>54</v>
      </c>
      <c r="B13" s="25"/>
      <c r="C13" s="5" t="str">
        <f t="shared" si="11"/>
        <v>54 M</v>
      </c>
      <c r="D13" s="13">
        <f>IF(IF($E$4="MONTO",IF((IF(MOD($E$6,1000)=0,$E$6,$E$6-MOD($E$6,1000)))&gt;500000,500000,IF(MOD($E$6,1000)=0,$E$6,$E$6-MOD($E$6,1000))),IF(((1-(1+F13)^(-A13))/(F13))*$E$6&gt;500000,500000,IF(MOD(((1-(1+F13)^(-A13))/(F13))*$E$6,1000)=0,((1-(1+F13)^(-A13))/(F13))*$E$6,((1-(1+F13)^(-A13))/(F13))*$E$6-MOD(((1-(1+F13)^(-A13))/(F13))*$E$6,1000))))&gt;=5000,
IF($E$4="MONTO",IF((IF(MOD($E$6,1000)=0,$E$6,$E$6-MOD($E$6,1000)))&gt;500000,500000,IF(MOD($E$6,1000)=0,$E$6,$E$6-MOD($E$6,1000))),IF(((1-(1+F13)^(-A13))/(F13))*$E$6&gt;500000,500000,IF(MOD(((1-(1+F13)^(-A13))/(F13))*$E$6,1000)=0,((1-(1+F13)^(-A13))/(F13))*$E$6,((1-(1+F13)^(-A13))/(F13))*$E$6-MOD(((1-(1+F13)^(-A13))/(F13))*$E$6,1000)))),
0)</f>
        <v>200000</v>
      </c>
      <c r="E13" s="6">
        <f t="shared" si="3"/>
        <v>7382.1656940003913</v>
      </c>
      <c r="F13" s="7">
        <f t="shared" si="4"/>
        <v>2.9046433535588376E-2</v>
      </c>
      <c r="G13" s="7">
        <f t="shared" si="5"/>
        <v>2.5040028909989982E-2</v>
      </c>
      <c r="H13" s="7">
        <f t="shared" si="6"/>
        <v>1.8392309951483436E-2</v>
      </c>
      <c r="I13" s="6">
        <f t="shared" si="7"/>
        <v>200000</v>
      </c>
      <c r="J13" s="6">
        <f t="shared" si="8"/>
        <v>171238.74782415616</v>
      </c>
      <c r="K13" s="6">
        <f t="shared" si="9"/>
        <v>27398.199651864987</v>
      </c>
      <c r="L13" s="6">
        <f t="shared" si="10"/>
        <v>398636.94747602113</v>
      </c>
      <c r="M13" s="28"/>
      <c r="N13" s="25"/>
      <c r="O13" s="25"/>
      <c r="P13" s="25"/>
      <c r="Q13" s="25"/>
      <c r="R13" s="25"/>
      <c r="S13" s="25"/>
      <c r="T13" s="25"/>
      <c r="U13" s="25"/>
      <c r="V13" s="25"/>
      <c r="W13" s="25"/>
      <c r="AL13" s="16"/>
      <c r="AM13" s="16"/>
    </row>
    <row r="14" spans="1:41" s="2" customFormat="1" x14ac:dyDescent="0.25">
      <c r="A14" s="10">
        <v>60</v>
      </c>
      <c r="B14" s="25"/>
      <c r="C14" s="5" t="str">
        <f t="shared" ref="C14" si="12">CONCATENATE(A14," M")</f>
        <v>60 M</v>
      </c>
      <c r="D14" s="13">
        <f>IF(IF($E$4="MONTO",IF((IF(MOD($E$6,1000)=0,$E$6,$E$6-MOD($E$6,1000)))&gt;500000,500000,IF(MOD($E$6,1000)=0,$E$6,$E$6-MOD($E$6,1000))),IF(((1-(1+F14)^(-A14))/(F14))*$E$6&gt;500000,500000,IF(MOD(((1-(1+F14)^(-A14))/(F14))*$E$6,1000)=0,((1-(1+F14)^(-A14))/(F14))*$E$6,((1-(1+F14)^(-A14))/(F14))*$E$6-MOD(((1-(1+F14)^(-A14))/(F14))*$E$6,1000))))&gt;=5000,
IF($E$4="MONTO",IF((IF(MOD($E$6,1000)=0,$E$6,$E$6-MOD($E$6,1000)))&gt;500000,500000,IF(MOD($E$6,1000)=0,$E$6,$E$6-MOD($E$6,1000))),IF(((1-(1+F14)^(-A14))/(F14))*$E$6&gt;500000,500000,IF(MOD(((1-(1+F14)^(-A14))/(F14))*$E$6,1000)=0,((1-(1+F14)^(-A14))/(F14))*$E$6,((1-(1+F14)^(-A14))/(F14))*$E$6-MOD(((1-(1+F14)^(-A14))/(F14))*$E$6,1000)))),
0)</f>
        <v>200000</v>
      </c>
      <c r="E14" s="6">
        <f t="shared" si="3"/>
        <v>7079.5984623773693</v>
      </c>
      <c r="F14" s="7">
        <f t="shared" si="4"/>
        <v>2.9046433535588497E-2</v>
      </c>
      <c r="G14" s="7">
        <f t="shared" si="5"/>
        <v>2.5040028909990086E-2</v>
      </c>
      <c r="H14" s="7">
        <f t="shared" si="6"/>
        <v>1.8731325645220179E-2</v>
      </c>
      <c r="I14" s="6">
        <f t="shared" si="7"/>
        <v>200000</v>
      </c>
      <c r="J14" s="6">
        <f t="shared" si="8"/>
        <v>193772.33426089844</v>
      </c>
      <c r="K14" s="6">
        <f t="shared" si="9"/>
        <v>31003.573481743751</v>
      </c>
      <c r="L14" s="6">
        <f t="shared" si="10"/>
        <v>424775.90774264216</v>
      </c>
      <c r="M14" s="28"/>
      <c r="N14" s="25"/>
      <c r="O14" s="25"/>
      <c r="P14" s="25"/>
      <c r="Q14" s="25"/>
      <c r="R14" s="25"/>
      <c r="S14" s="25"/>
      <c r="T14" s="25"/>
      <c r="U14" s="25"/>
      <c r="V14" s="25"/>
      <c r="W14" s="25"/>
      <c r="AL14" s="16"/>
      <c r="AM14" s="16"/>
    </row>
    <row r="15" spans="1:41" s="2" customFormat="1" x14ac:dyDescent="0.25">
      <c r="A15" s="11"/>
      <c r="B15" s="25"/>
      <c r="C15" s="27" t="s">
        <v>8</v>
      </c>
      <c r="D15" s="25"/>
      <c r="E15" s="25"/>
      <c r="F15" s="25"/>
      <c r="G15" s="25"/>
      <c r="H15" s="25"/>
      <c r="I15" s="25"/>
      <c r="J15" s="25"/>
      <c r="K15" s="25"/>
      <c r="L15" s="25"/>
      <c r="M15" s="28"/>
      <c r="N15" s="25"/>
      <c r="O15" s="25"/>
      <c r="P15" s="25"/>
      <c r="Q15" s="25"/>
      <c r="R15" s="25"/>
      <c r="S15" s="25"/>
      <c r="T15" s="25"/>
      <c r="U15" s="25"/>
      <c r="V15" s="25"/>
      <c r="W15" s="25"/>
      <c r="AL15" s="16"/>
      <c r="AM15" s="16"/>
      <c r="AN15" s="15"/>
      <c r="AO15" s="15"/>
    </row>
    <row r="16" spans="1:41" s="2" customFormat="1" x14ac:dyDescent="0.25">
      <c r="A16" s="11"/>
      <c r="B16" s="25"/>
      <c r="C16" s="27" t="s">
        <v>18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AL16" s="16"/>
      <c r="AM16" s="16"/>
      <c r="AN16" s="15"/>
      <c r="AO16" s="15"/>
    </row>
    <row r="17" spans="1:41" s="2" customFormat="1" x14ac:dyDescent="0.25">
      <c r="A17" s="11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AL17" s="16"/>
      <c r="AM17" s="16"/>
      <c r="AN17" s="15"/>
      <c r="AO17" s="15"/>
    </row>
    <row r="18" spans="1:41" s="2" customFormat="1" x14ac:dyDescent="0.25">
      <c r="A18" s="11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AL18" s="16"/>
      <c r="AM18" s="16"/>
      <c r="AN18" s="15"/>
      <c r="AO18" s="15"/>
    </row>
    <row r="19" spans="1:41" s="2" customFormat="1" x14ac:dyDescent="0.25">
      <c r="A19" s="11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AL19" s="16"/>
      <c r="AM19" s="16"/>
      <c r="AN19" s="15"/>
      <c r="AO19" s="15"/>
    </row>
    <row r="20" spans="1:41" s="2" customFormat="1" x14ac:dyDescent="0.25">
      <c r="A20" s="11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AL20" s="16"/>
      <c r="AM20" s="16"/>
    </row>
    <row r="21" spans="1:41" s="2" customFormat="1" x14ac:dyDescent="0.25">
      <c r="A21" s="11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AL21" s="16"/>
      <c r="AM21" s="16"/>
    </row>
    <row r="22" spans="1:41" s="2" customFormat="1" x14ac:dyDescent="0.25">
      <c r="A22" s="11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AL22" s="16"/>
      <c r="AM22" s="16"/>
    </row>
    <row r="23" spans="1:41" s="2" customFormat="1" x14ac:dyDescent="0.25">
      <c r="A23" s="11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AL23" s="16"/>
      <c r="AM23" s="16"/>
    </row>
    <row r="24" spans="1:41" s="2" customFormat="1" x14ac:dyDescent="0.25">
      <c r="A24" s="11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AL24" s="16"/>
      <c r="AM24" s="16"/>
    </row>
    <row r="25" spans="1:41" s="2" customFormat="1" x14ac:dyDescent="0.25">
      <c r="A25" s="1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AL25" s="16"/>
      <c r="AM25" s="16"/>
    </row>
    <row r="26" spans="1:41" x14ac:dyDescent="0.25">
      <c r="A26" s="11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</row>
    <row r="27" spans="1:41" x14ac:dyDescent="0.25">
      <c r="A27" s="11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</row>
    <row r="28" spans="1:41" x14ac:dyDescent="0.25">
      <c r="A28" s="11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</row>
    <row r="29" spans="1:41" x14ac:dyDescent="0.25">
      <c r="A29" s="11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1:41" x14ac:dyDescent="0.25">
      <c r="A30" s="11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1:41" x14ac:dyDescent="0.25">
      <c r="A31" s="11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41" x14ac:dyDescent="0.25">
      <c r="A32" s="11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23" x14ac:dyDescent="0.25">
      <c r="A33" s="11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</row>
    <row r="34" spans="1:23" x14ac:dyDescent="0.25">
      <c r="A34" s="1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</row>
    <row r="35" spans="1:23" x14ac:dyDescent="0.25">
      <c r="A35" s="1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</row>
    <row r="36" spans="1:23" x14ac:dyDescent="0.25">
      <c r="A36" s="1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</row>
    <row r="37" spans="1:23" x14ac:dyDescent="0.25">
      <c r="A37" s="11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23" x14ac:dyDescent="0.25">
      <c r="A38" s="11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</row>
    <row r="39" spans="1:23" x14ac:dyDescent="0.25">
      <c r="A39" s="11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</row>
    <row r="40" spans="1:23" x14ac:dyDescent="0.25">
      <c r="A40" s="11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23" x14ac:dyDescent="0.25">
      <c r="A41" s="11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23" x14ac:dyDescent="0.25">
      <c r="A42" s="11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pans="1:23" x14ac:dyDescent="0.25">
      <c r="A43" s="11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23" x14ac:dyDescent="0.25">
      <c r="A44" s="11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pans="1:23" x14ac:dyDescent="0.25">
      <c r="A45" s="11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23" x14ac:dyDescent="0.25">
      <c r="A46" s="11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</row>
    <row r="47" spans="1:23" x14ac:dyDescent="0.25">
      <c r="A47" s="11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</row>
    <row r="48" spans="1:23" x14ac:dyDescent="0.25">
      <c r="A48" s="11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</row>
    <row r="49" spans="1:23" x14ac:dyDescent="0.25">
      <c r="A49" s="11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</row>
    <row r="50" spans="1:23" x14ac:dyDescent="0.25">
      <c r="A50" s="11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</row>
  </sheetData>
  <sheetProtection algorithmName="SHA-512" hashValue="fDxz6KpXH5M22yDo4ad/DLBM//eBWlmrcFjzUT/GTUgxLSBZkpGNU0OTGe9Fe3GC8T/YMnQ14rKr/YZes8e50g==" saltValue="EiiA63k1n+a+6e/xGaopvQ==" spinCount="100000" sheet="1" objects="1" scenarios="1" selectLockedCells="1"/>
  <mergeCells count="6">
    <mergeCell ref="I2:K6"/>
    <mergeCell ref="C2:D2"/>
    <mergeCell ref="C3:D3"/>
    <mergeCell ref="C4:D4"/>
    <mergeCell ref="C6:D6"/>
    <mergeCell ref="E2:G2"/>
  </mergeCells>
  <dataValidations count="1">
    <dataValidation type="list" allowBlank="1" showInputMessage="1" showErrorMessage="1" sqref="E4" xr:uid="{00000000-0002-0000-0200-000000000000}">
      <formula1>"Monto, Capacidad"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50"/>
  <sheetViews>
    <sheetView showGridLines="0" topLeftCell="B1" zoomScale="130" zoomScaleNormal="130" workbookViewId="0">
      <selection activeCell="E6" sqref="E6"/>
    </sheetView>
  </sheetViews>
  <sheetFormatPr baseColWidth="10" defaultRowHeight="15" x14ac:dyDescent="0.25"/>
  <cols>
    <col min="1" max="1" width="3.140625" style="12" hidden="1" customWidth="1"/>
    <col min="2" max="2" width="2.42578125" style="8" customWidth="1"/>
    <col min="3" max="3" width="11.42578125" style="8"/>
    <col min="4" max="4" width="14.42578125" style="8" bestFit="1" customWidth="1"/>
    <col min="5" max="5" width="17.5703125" style="8" customWidth="1"/>
    <col min="6" max="6" width="13.5703125" style="8" bestFit="1" customWidth="1"/>
    <col min="7" max="7" width="13.5703125" style="8" customWidth="1"/>
    <col min="8" max="8" width="12.7109375" style="8" bestFit="1" customWidth="1"/>
    <col min="9" max="11" width="14.42578125" style="8" bestFit="1" customWidth="1"/>
    <col min="12" max="12" width="14.28515625" style="8" customWidth="1"/>
    <col min="13" max="13" width="1.5703125" style="8" customWidth="1"/>
    <col min="14" max="14" width="11.85546875" style="8" bestFit="1" customWidth="1"/>
    <col min="15" max="36" width="11.42578125" style="8"/>
    <col min="37" max="37" width="6.7109375" style="8" bestFit="1" customWidth="1"/>
    <col min="38" max="38" width="13.140625" style="18" bestFit="1" customWidth="1"/>
    <col min="39" max="39" width="13" style="18" bestFit="1" customWidth="1"/>
    <col min="40" max="40" width="6.28515625" style="8" bestFit="1" customWidth="1"/>
    <col min="41" max="41" width="12.5703125" style="8" bestFit="1" customWidth="1"/>
    <col min="42" max="16384" width="11.42578125" style="8"/>
  </cols>
  <sheetData>
    <row r="1" spans="1:41" s="2" customFormat="1" x14ac:dyDescent="0.25">
      <c r="A1" s="11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AK1" s="21" t="s">
        <v>14</v>
      </c>
      <c r="AL1" s="16" t="s">
        <v>13</v>
      </c>
      <c r="AM1" s="16" t="s">
        <v>15</v>
      </c>
      <c r="AN1" s="2" t="s">
        <v>16</v>
      </c>
      <c r="AO1" s="2" t="s">
        <v>17</v>
      </c>
    </row>
    <row r="2" spans="1:41" s="2" customFormat="1" ht="15.75" x14ac:dyDescent="0.25">
      <c r="A2" s="11"/>
      <c r="B2" s="25"/>
      <c r="C2" s="36" t="s">
        <v>0</v>
      </c>
      <c r="D2" s="36"/>
      <c r="E2" s="39" t="s">
        <v>22</v>
      </c>
      <c r="F2" s="39"/>
      <c r="G2" s="39"/>
      <c r="H2" s="25"/>
      <c r="I2" s="40" t="s">
        <v>28</v>
      </c>
      <c r="J2" s="40"/>
      <c r="K2" s="40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AK2" s="21">
        <v>30</v>
      </c>
      <c r="AL2" s="16">
        <v>500000</v>
      </c>
      <c r="AM2" s="24">
        <v>24696.49</v>
      </c>
      <c r="AN2" s="15">
        <f>RATE(AK2,AM2,-AL2,0,0)</f>
        <v>2.7513202087384211E-2</v>
      </c>
      <c r="AO2" s="15">
        <f>AN2/1.16</f>
        <v>2.3718277661538115E-2</v>
      </c>
    </row>
    <row r="3" spans="1:41" s="2" customFormat="1" ht="15" customHeight="1" x14ac:dyDescent="0.25">
      <c r="A3" s="11"/>
      <c r="B3" s="25"/>
      <c r="C3" s="36" t="s">
        <v>1</v>
      </c>
      <c r="D3" s="36"/>
      <c r="E3" s="31" t="s">
        <v>2</v>
      </c>
      <c r="F3" s="25"/>
      <c r="G3" s="25"/>
      <c r="H3" s="25"/>
      <c r="I3" s="40"/>
      <c r="J3" s="40"/>
      <c r="K3" s="40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AK3" s="21">
        <v>36</v>
      </c>
      <c r="AL3" s="16">
        <v>500000</v>
      </c>
      <c r="AM3" s="24">
        <v>22060.09</v>
      </c>
      <c r="AN3" s="15">
        <f>RATE(AK3,AM3,-AL3,0,0)</f>
        <v>2.7513212689282352E-2</v>
      </c>
      <c r="AO3" s="15">
        <f>AN3/1.16</f>
        <v>2.3718286801105479E-2</v>
      </c>
    </row>
    <row r="4" spans="1:41" s="2" customFormat="1" ht="15.75" customHeight="1" x14ac:dyDescent="0.25">
      <c r="A4" s="11"/>
      <c r="B4" s="25"/>
      <c r="C4" s="36" t="s">
        <v>9</v>
      </c>
      <c r="D4" s="36"/>
      <c r="E4" s="1" t="s">
        <v>23</v>
      </c>
      <c r="F4" s="25"/>
      <c r="G4" s="25"/>
      <c r="H4" s="33"/>
      <c r="I4" s="40"/>
      <c r="J4" s="40"/>
      <c r="K4" s="40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AK4" s="21">
        <v>42</v>
      </c>
      <c r="AL4" s="16">
        <v>500000</v>
      </c>
      <c r="AM4" s="24">
        <v>20225.45</v>
      </c>
      <c r="AN4" s="15">
        <f>RATE(AK4,AM4,-AL4,0,0)</f>
        <v>2.7513206199660422E-2</v>
      </c>
      <c r="AO4" s="15">
        <f>AN4/1.16</f>
        <v>2.3718281206603815E-2</v>
      </c>
    </row>
    <row r="5" spans="1:41" s="2" customFormat="1" x14ac:dyDescent="0.25">
      <c r="A5" s="11"/>
      <c r="B5" s="25"/>
      <c r="C5" s="31"/>
      <c r="D5" s="31"/>
      <c r="E5" s="25"/>
      <c r="F5" s="25"/>
      <c r="G5" s="25"/>
      <c r="H5" s="33"/>
      <c r="I5" s="40"/>
      <c r="J5" s="40"/>
      <c r="K5" s="40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AK5" s="21">
        <v>48</v>
      </c>
      <c r="AL5" s="16">
        <v>500000</v>
      </c>
      <c r="AM5" s="24">
        <v>18890.509999999998</v>
      </c>
      <c r="AN5" s="15">
        <f>RATE(AK5,AM5,-AL5,0,0)</f>
        <v>2.7513210765333626E-2</v>
      </c>
      <c r="AO5" s="15">
        <f>AN5/1.16</f>
        <v>2.3718285142528991E-2</v>
      </c>
    </row>
    <row r="6" spans="1:41" s="2" customFormat="1" ht="18.75" x14ac:dyDescent="0.3">
      <c r="A6" s="11"/>
      <c r="B6" s="25"/>
      <c r="C6" s="36" t="str">
        <f>IF(E4="MONTO","Ingrese el Monto:","Ingrese la capacidad:")</f>
        <v>Ingrese el Monto:</v>
      </c>
      <c r="D6" s="36"/>
      <c r="E6" s="9">
        <v>300000</v>
      </c>
      <c r="F6" s="25"/>
      <c r="G6" s="25"/>
      <c r="H6" s="33"/>
      <c r="I6" s="40"/>
      <c r="J6" s="40"/>
      <c r="K6" s="40"/>
      <c r="L6" s="32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AK6" s="21">
        <v>54</v>
      </c>
      <c r="AL6" s="16">
        <v>500000</v>
      </c>
      <c r="AM6" s="24">
        <v>17887.310000000001</v>
      </c>
      <c r="AN6" s="15">
        <f t="shared" ref="AN6:AN7" si="0">RATE(AK6,AM6,-AL6,0,0)</f>
        <v>2.7513193273287918E-2</v>
      </c>
      <c r="AO6" s="15">
        <f t="shared" ref="AO6:AO7" si="1">AN6/1.16</f>
        <v>2.3718270063179243E-2</v>
      </c>
    </row>
    <row r="7" spans="1:41" s="2" customFormat="1" x14ac:dyDescent="0.25">
      <c r="A7" s="11"/>
      <c r="B7" s="25"/>
      <c r="C7" s="25"/>
      <c r="D7" s="25"/>
      <c r="E7" s="25"/>
      <c r="F7" s="33"/>
      <c r="G7" s="33"/>
      <c r="H7" s="33"/>
      <c r="I7" s="34"/>
      <c r="J7" s="3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AK7" s="21">
        <v>60</v>
      </c>
      <c r="AL7" s="16">
        <v>500000</v>
      </c>
      <c r="AM7" s="24">
        <v>17115</v>
      </c>
      <c r="AN7" s="15">
        <f t="shared" si="0"/>
        <v>2.7513202645306132E-2</v>
      </c>
      <c r="AO7" s="15">
        <f t="shared" si="1"/>
        <v>2.3718278142505288E-2</v>
      </c>
    </row>
    <row r="8" spans="1:41" s="2" customFormat="1" x14ac:dyDescent="0.25">
      <c r="A8" s="11"/>
      <c r="B8" s="25"/>
      <c r="C8" s="4" t="s">
        <v>3</v>
      </c>
      <c r="D8" s="4" t="s">
        <v>4</v>
      </c>
      <c r="E8" s="4" t="s">
        <v>5</v>
      </c>
      <c r="F8" s="4" t="s">
        <v>19</v>
      </c>
      <c r="G8" s="4" t="s">
        <v>20</v>
      </c>
      <c r="H8" s="4" t="s">
        <v>10</v>
      </c>
      <c r="I8" s="4" t="s">
        <v>7</v>
      </c>
      <c r="J8" s="4" t="s">
        <v>11</v>
      </c>
      <c r="K8" s="4" t="s">
        <v>12</v>
      </c>
      <c r="L8" s="4" t="s">
        <v>6</v>
      </c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AL8" s="16"/>
      <c r="AM8" s="16"/>
      <c r="AN8" s="15"/>
      <c r="AO8" s="15"/>
    </row>
    <row r="9" spans="1:41" s="2" customFormat="1" x14ac:dyDescent="0.25">
      <c r="A9" s="10">
        <v>30</v>
      </c>
      <c r="B9" s="25"/>
      <c r="C9" s="5" t="str">
        <f t="shared" ref="C9:C10" si="2">CONCATENATE(A9," M")</f>
        <v>30 M</v>
      </c>
      <c r="D9" s="13">
        <f>IF(IF($E$4="MONTO",IF((IF(MOD($E$6,1000)=0,$E$6,$E$6-MOD($E$6,1000)))&gt;500000,500000,IF(MOD($E$6,1000)=0,$E$6,$E$6-MOD($E$6,1000))),IF(((1-(1+F9)^(-A9))/(F9))*$E$6&gt;500000,500000,IF(MOD(((1-(1+F9)^(-A9))/(F9))*$E$6,1000)=0,((1-(1+F9)^(-A9))/(F9))*$E$6,((1-(1+F9)^(-A9))/(F9))*$E$6-MOD(((1-(1+F9)^(-A9))/(F9))*$E$6,1000))))&gt;=40000,
IF($E$4="MONTO",IF((IF(MOD($E$6,1000)=0,$E$6,$E$6-MOD($E$6,1000)))&gt;500000,500000,IF(MOD($E$6,1000)=0,$E$6,$E$6-MOD($E$6,1000))),IF(((1-(1+F9)^(-A9))/(F9))*$E$6&gt;500000,500000,IF(MOD(((1-(1+F9)^(-A9))/(F9))*$E$6,1000)=0,((1-(1+F9)^(-A9))/(F9))*$E$6,((1-(1+F9)^(-A9))/(F9))*$E$6-MOD(((1-(1+F9)^(-A9))/(F9))*$E$6,1000)))),
0)</f>
        <v>300000</v>
      </c>
      <c r="E9" s="6">
        <f t="shared" ref="E9:E14" si="3">-PMT(F9,A9,D9,,0)</f>
        <v>14817.89399999998</v>
      </c>
      <c r="F9" s="7">
        <f t="shared" ref="F9:F14" si="4">VLOOKUP(A9,AK:AO,4,0)</f>
        <v>2.7513202087384211E-2</v>
      </c>
      <c r="G9" s="7">
        <f t="shared" ref="G9:G14" si="5">VLOOKUP(A9,AK:AO,5,0)</f>
        <v>2.3718277661538115E-2</v>
      </c>
      <c r="H9" s="7">
        <f t="shared" ref="H9:H14" si="6">IFERROR(((L9-I9)/I9)/A9,0)</f>
        <v>1.6059646666666604E-2</v>
      </c>
      <c r="I9" s="6">
        <f t="shared" ref="I9:I14" si="7">D9</f>
        <v>300000</v>
      </c>
      <c r="J9" s="6">
        <f t="shared" ref="J9:J14" si="8">(L9-I9)/1.16</f>
        <v>124600.70689655123</v>
      </c>
      <c r="K9" s="6">
        <f t="shared" ref="K9:K14" si="9">J9*16%</f>
        <v>19936.113103448199</v>
      </c>
      <c r="L9" s="6">
        <f t="shared" ref="L9:L14" si="10">E9*A9</f>
        <v>444536.81999999942</v>
      </c>
      <c r="M9" s="28"/>
      <c r="N9" s="25"/>
      <c r="O9" s="25"/>
      <c r="P9" s="25"/>
      <c r="Q9" s="25"/>
      <c r="R9" s="25"/>
      <c r="S9" s="25"/>
      <c r="T9" s="25"/>
      <c r="U9" s="25"/>
      <c r="V9" s="25"/>
      <c r="W9" s="25"/>
      <c r="AL9" s="16"/>
      <c r="AM9" s="16"/>
      <c r="AN9" s="15"/>
      <c r="AO9" s="15"/>
    </row>
    <row r="10" spans="1:41" s="2" customFormat="1" x14ac:dyDescent="0.25">
      <c r="A10" s="10">
        <v>36</v>
      </c>
      <c r="B10" s="25"/>
      <c r="C10" s="5" t="str">
        <f t="shared" si="2"/>
        <v>36 M</v>
      </c>
      <c r="D10" s="13">
        <f>IF(IF($E$4="MONTO",IF((IF(MOD($E$6,1000)=0,$E$6,$E$6-MOD($E$6,1000)))&gt;500000,500000,IF(MOD($E$6,1000)=0,$E$6,$E$6-MOD($E$6,1000))),IF(((1-(1+F10)^(-A10))/(F10))*$E$6&gt;500000,500000,IF(MOD(((1-(1+F10)^(-A10))/(F10))*$E$6,1000)=0,((1-(1+F10)^(-A10))/(F10))*$E$6,((1-(1+F10)^(-A10))/(F10))*$E$6-MOD(((1-(1+F10)^(-A10))/(F10))*$E$6,1000))))&gt;=20000,
IF($E$4="MONTO",IF((IF(MOD($E$6,1000)=0,$E$6,$E$6-MOD($E$6,1000)))&gt;500000,500000,IF(MOD($E$6,1000)=0,$E$6,$E$6-MOD($E$6,1000))),IF(((1-(1+F10)^(-A10))/(F10))*$E$6&gt;500000,500000,IF(MOD(((1-(1+F10)^(-A10))/(F10))*$E$6,1000)=0,((1-(1+F10)^(-A10))/(F10))*$E$6,((1-(1+F10)^(-A10))/(F10))*$E$6-MOD(((1-(1+F10)^(-A10))/(F10))*$E$6,1000)))),
0)</f>
        <v>300000</v>
      </c>
      <c r="E10" s="6">
        <f t="shared" si="3"/>
        <v>13236.053999999996</v>
      </c>
      <c r="F10" s="7">
        <f t="shared" si="4"/>
        <v>2.7513212689282352E-2</v>
      </c>
      <c r="G10" s="7">
        <f t="shared" si="5"/>
        <v>2.3718286801105479E-2</v>
      </c>
      <c r="H10" s="7">
        <f t="shared" si="6"/>
        <v>1.6342402222222212E-2</v>
      </c>
      <c r="I10" s="6">
        <f t="shared" si="7"/>
        <v>300000</v>
      </c>
      <c r="J10" s="6">
        <f t="shared" si="8"/>
        <v>152153.39999999994</v>
      </c>
      <c r="K10" s="6">
        <f t="shared" si="9"/>
        <v>24344.543999999991</v>
      </c>
      <c r="L10" s="6">
        <f t="shared" si="10"/>
        <v>476497.9439999999</v>
      </c>
      <c r="M10" s="28"/>
      <c r="N10" s="25"/>
      <c r="O10" s="25"/>
      <c r="P10" s="25"/>
      <c r="Q10" s="25"/>
      <c r="R10" s="25"/>
      <c r="S10" s="25"/>
      <c r="T10" s="25"/>
      <c r="U10" s="25"/>
      <c r="V10" s="25"/>
      <c r="W10" s="25"/>
      <c r="AL10" s="16"/>
      <c r="AM10" s="16"/>
      <c r="AN10" s="15"/>
      <c r="AO10" s="15"/>
    </row>
    <row r="11" spans="1:41" s="2" customFormat="1" x14ac:dyDescent="0.25">
      <c r="A11" s="10">
        <v>42</v>
      </c>
      <c r="B11" s="25"/>
      <c r="C11" s="5" t="str">
        <f>CONCATENATE(A11," M")</f>
        <v>42 M</v>
      </c>
      <c r="D11" s="13">
        <f>IF(IF($E$4="MONTO",IF((IF(MOD($E$6,1000)=0,$E$6,$E$6-MOD($E$6,1000)))&gt;500000,500000,IF(MOD($E$6,1000)=0,$E$6,$E$6-MOD($E$6,1000))),IF(((1-(1+F11)^(-A11))/(F11))*$E$6&gt;500000,500000,IF(MOD(((1-(1+F11)^(-A11))/(F11))*$E$6,1000)=0,((1-(1+F11)^(-A11))/(F11))*$E$6,((1-(1+F11)^(-A11))/(F11))*$E$6-MOD(((1-(1+F11)^(-A11))/(F11))*$E$6,1000))))&gt;=5000,
IF($E$4="MONTO",IF((IF(MOD($E$6,1000)=0,$E$6,$E$6-MOD($E$6,1000)))&gt;500000,500000,IF(MOD($E$6,1000)=0,$E$6,$E$6-MOD($E$6,1000))),IF(((1-(1+F11)^(-A11))/(F11))*$E$6&gt;500000,500000,IF(MOD(((1-(1+F11)^(-A11))/(F11))*$E$6,1000)=0,((1-(1+F11)^(-A11))/(F11))*$E$6,((1-(1+F11)^(-A11))/(F11))*$E$6-MOD(((1-(1+F11)^(-A11))/(F11))*$E$6,1000)))),
0)</f>
        <v>300000</v>
      </c>
      <c r="E11" s="6">
        <f t="shared" si="3"/>
        <v>12135.27000000009</v>
      </c>
      <c r="F11" s="7">
        <f t="shared" si="4"/>
        <v>2.7513206199660422E-2</v>
      </c>
      <c r="G11" s="7">
        <f t="shared" si="5"/>
        <v>2.3718281206603815E-2</v>
      </c>
      <c r="H11" s="7">
        <f t="shared" si="6"/>
        <v>1.6641376190476488E-2</v>
      </c>
      <c r="I11" s="6">
        <f t="shared" si="7"/>
        <v>300000</v>
      </c>
      <c r="J11" s="6">
        <f t="shared" si="8"/>
        <v>180759.77586207222</v>
      </c>
      <c r="K11" s="6">
        <f t="shared" si="9"/>
        <v>28921.564137931557</v>
      </c>
      <c r="L11" s="6">
        <f t="shared" si="10"/>
        <v>509681.34000000375</v>
      </c>
      <c r="M11" s="28"/>
      <c r="N11" s="25"/>
      <c r="O11" s="25"/>
      <c r="P11" s="25"/>
      <c r="Q11" s="25"/>
      <c r="R11" s="25"/>
      <c r="S11" s="25"/>
      <c r="T11" s="25"/>
      <c r="U11" s="25"/>
      <c r="V11" s="25"/>
      <c r="W11" s="25"/>
      <c r="AL11" s="16"/>
      <c r="AM11" s="16"/>
    </row>
    <row r="12" spans="1:41" s="2" customFormat="1" x14ac:dyDescent="0.25">
      <c r="A12" s="10">
        <v>48</v>
      </c>
      <c r="B12" s="25"/>
      <c r="C12" s="5" t="str">
        <f t="shared" ref="C12:C14" si="11">CONCATENATE(A12," M")</f>
        <v>48 M</v>
      </c>
      <c r="D12" s="13">
        <f>IF(IF($E$4="MONTO",IF((IF(MOD($E$6,1000)=0,$E$6,$E$6-MOD($E$6,1000)))&gt;500000,500000,IF(MOD($E$6,1000)=0,$E$6,$E$6-MOD($E$6,1000))),IF(((1-(1+F12)^(-A12))/(F12))*$E$6&gt;500000,500000,IF(MOD(((1-(1+F12)^(-A12))/(F12))*$E$6,1000)=0,((1-(1+F12)^(-A12))/(F12))*$E$6,((1-(1+F12)^(-A12))/(F12))*$E$6-MOD(((1-(1+F12)^(-A12))/(F12))*$E$6,1000))))&gt;=5000,
IF($E$4="MONTO",IF((IF(MOD($E$6,1000)=0,$E$6,$E$6-MOD($E$6,1000)))&gt;500000,500000,IF(MOD($E$6,1000)=0,$E$6,$E$6-MOD($E$6,1000))),IF(((1-(1+F12)^(-A12))/(F12))*$E$6&gt;500000,500000,IF(MOD(((1-(1+F12)^(-A12))/(F12))*$E$6,1000)=0,((1-(1+F12)^(-A12))/(F12))*$E$6,((1-(1+F12)^(-A12))/(F12))*$E$6-MOD(((1-(1+F12)^(-A12))/(F12))*$E$6,1000)))),
0)</f>
        <v>300000</v>
      </c>
      <c r="E12" s="6">
        <f t="shared" si="3"/>
        <v>11334.30599999999</v>
      </c>
      <c r="F12" s="7">
        <f t="shared" si="4"/>
        <v>2.7513210765333626E-2</v>
      </c>
      <c r="G12" s="7">
        <f t="shared" si="5"/>
        <v>2.3718285142528991E-2</v>
      </c>
      <c r="H12" s="7">
        <f t="shared" si="6"/>
        <v>1.6947686666666632E-2</v>
      </c>
      <c r="I12" s="6">
        <f t="shared" si="7"/>
        <v>300000</v>
      </c>
      <c r="J12" s="6">
        <f t="shared" si="8"/>
        <v>210385.07586206854</v>
      </c>
      <c r="K12" s="6">
        <f t="shared" si="9"/>
        <v>33661.61213793097</v>
      </c>
      <c r="L12" s="6">
        <f t="shared" si="10"/>
        <v>544046.6879999995</v>
      </c>
      <c r="M12" s="28"/>
      <c r="N12" s="25"/>
      <c r="O12" s="25"/>
      <c r="P12" s="25"/>
      <c r="Q12" s="25"/>
      <c r="R12" s="25"/>
      <c r="S12" s="25"/>
      <c r="T12" s="25"/>
      <c r="U12" s="25"/>
      <c r="V12" s="25"/>
      <c r="W12" s="25"/>
      <c r="AL12" s="16"/>
      <c r="AM12" s="16"/>
    </row>
    <row r="13" spans="1:41" s="2" customFormat="1" x14ac:dyDescent="0.25">
      <c r="A13" s="10">
        <v>54</v>
      </c>
      <c r="B13" s="25"/>
      <c r="C13" s="5" t="str">
        <f t="shared" si="11"/>
        <v>54 M</v>
      </c>
      <c r="D13" s="13">
        <f>IF(IF($E$4="MONTO",IF((IF(MOD($E$6,1000)=0,$E$6,$E$6-MOD($E$6,1000)))&gt;500000,500000,IF(MOD($E$6,1000)=0,$E$6,$E$6-MOD($E$6,1000))),IF(((1-(1+F13)^(-A13))/(F13))*$E$6&gt;500000,500000,IF(MOD(((1-(1+F13)^(-A13))/(F13))*$E$6,1000)=0,((1-(1+F13)^(-A13))/(F13))*$E$6,((1-(1+F13)^(-A13))/(F13))*$E$6-MOD(((1-(1+F13)^(-A13))/(F13))*$E$6,1000))))&gt;=5000,
IF($E$4="MONTO",IF((IF(MOD($E$6,1000)=0,$E$6,$E$6-MOD($E$6,1000)))&gt;500000,500000,IF(MOD($E$6,1000)=0,$E$6,$E$6-MOD($E$6,1000))),IF(((1-(1+F13)^(-A13))/(F13))*$E$6&gt;500000,500000,IF(MOD(((1-(1+F13)^(-A13))/(F13))*$E$6,1000)=0,((1-(1+F13)^(-A13))/(F13))*$E$6,((1-(1+F13)^(-A13))/(F13))*$E$6-MOD(((1-(1+F13)^(-A13))/(F13))*$E$6,1000)))),
0)</f>
        <v>300000</v>
      </c>
      <c r="E13" s="6">
        <f t="shared" si="3"/>
        <v>10732.385999999991</v>
      </c>
      <c r="F13" s="7">
        <f t="shared" si="4"/>
        <v>2.7513193273287918E-2</v>
      </c>
      <c r="G13" s="7">
        <f t="shared" si="5"/>
        <v>2.3718270063179243E-2</v>
      </c>
      <c r="H13" s="7">
        <f t="shared" si="6"/>
        <v>1.7256101481481455E-2</v>
      </c>
      <c r="I13" s="6">
        <f t="shared" si="7"/>
        <v>300000</v>
      </c>
      <c r="J13" s="6">
        <f t="shared" si="8"/>
        <v>240990.38275862034</v>
      </c>
      <c r="K13" s="6">
        <f t="shared" si="9"/>
        <v>38558.461241379257</v>
      </c>
      <c r="L13" s="6">
        <f t="shared" si="10"/>
        <v>579548.84399999958</v>
      </c>
      <c r="M13" s="28"/>
      <c r="N13" s="25"/>
      <c r="O13" s="25"/>
      <c r="P13" s="25"/>
      <c r="Q13" s="25"/>
      <c r="R13" s="25"/>
      <c r="S13" s="25"/>
      <c r="T13" s="25"/>
      <c r="U13" s="25"/>
      <c r="V13" s="25"/>
      <c r="W13" s="25"/>
      <c r="AL13" s="16"/>
      <c r="AM13" s="16"/>
    </row>
    <row r="14" spans="1:41" s="2" customFormat="1" x14ac:dyDescent="0.25">
      <c r="A14" s="10">
        <v>60</v>
      </c>
      <c r="B14" s="25"/>
      <c r="C14" s="5" t="str">
        <f t="shared" si="11"/>
        <v>60 M</v>
      </c>
      <c r="D14" s="13">
        <f>IF(IF($E$4="MONTO",IF((IF(MOD($E$6,1000)=0,$E$6,$E$6-MOD($E$6,1000)))&gt;500000,500000,IF(MOD($E$6,1000)=0,$E$6,$E$6-MOD($E$6,1000))),IF(((1-(1+F14)^(-A14))/(F14))*$E$6&gt;500000,500000,IF(MOD(((1-(1+F14)^(-A14))/(F14))*$E$6,1000)=0,((1-(1+F14)^(-A14))/(F14))*$E$6,((1-(1+F14)^(-A14))/(F14))*$E$6-MOD(((1-(1+F14)^(-A14))/(F14))*$E$6,1000))))&gt;=5000,
IF($E$4="MONTO",IF((IF(MOD($E$6,1000)=0,$E$6,$E$6-MOD($E$6,1000)))&gt;500000,500000,IF(MOD($E$6,1000)=0,$E$6,$E$6-MOD($E$6,1000))),IF(((1-(1+F14)^(-A14))/(F14))*$E$6&gt;500000,500000,IF(MOD(((1-(1+F14)^(-A14))/(F14))*$E$6,1000)=0,((1-(1+F14)^(-A14))/(F14))*$E$6,((1-(1+F14)^(-A14))/(F14))*$E$6-MOD(((1-(1+F14)^(-A14))/(F14))*$E$6,1000)))),
0)</f>
        <v>300000</v>
      </c>
      <c r="E14" s="6">
        <f t="shared" si="3"/>
        <v>10269.000000000175</v>
      </c>
      <c r="F14" s="7">
        <f t="shared" si="4"/>
        <v>2.7513202645306132E-2</v>
      </c>
      <c r="G14" s="7">
        <f t="shared" si="5"/>
        <v>2.3718278142505288E-2</v>
      </c>
      <c r="H14" s="7">
        <f t="shared" si="6"/>
        <v>1.7563333333333916E-2</v>
      </c>
      <c r="I14" s="6">
        <f t="shared" si="7"/>
        <v>300000</v>
      </c>
      <c r="J14" s="6">
        <f t="shared" si="8"/>
        <v>272534.48275862972</v>
      </c>
      <c r="K14" s="6">
        <f t="shared" si="9"/>
        <v>43605.517241380752</v>
      </c>
      <c r="L14" s="6">
        <f t="shared" si="10"/>
        <v>616140.00000001048</v>
      </c>
      <c r="M14" s="28"/>
      <c r="N14" s="25"/>
      <c r="O14" s="25"/>
      <c r="P14" s="25"/>
      <c r="Q14" s="25"/>
      <c r="R14" s="25"/>
      <c r="S14" s="25"/>
      <c r="T14" s="25"/>
      <c r="U14" s="25"/>
      <c r="V14" s="25"/>
      <c r="W14" s="25"/>
      <c r="AL14" s="16"/>
      <c r="AM14" s="16"/>
    </row>
    <row r="15" spans="1:41" s="2" customFormat="1" x14ac:dyDescent="0.25">
      <c r="A15" s="11"/>
      <c r="B15" s="25"/>
      <c r="C15" s="27" t="s">
        <v>8</v>
      </c>
      <c r="D15" s="25"/>
      <c r="E15" s="25"/>
      <c r="F15" s="25"/>
      <c r="G15" s="25"/>
      <c r="H15" s="25"/>
      <c r="I15" s="25"/>
      <c r="J15" s="25"/>
      <c r="K15" s="25"/>
      <c r="L15" s="25"/>
      <c r="M15" s="28"/>
      <c r="N15" s="25"/>
      <c r="O15" s="25"/>
      <c r="P15" s="25"/>
      <c r="Q15" s="25"/>
      <c r="R15" s="25"/>
      <c r="S15" s="25"/>
      <c r="T15" s="25"/>
      <c r="U15" s="25"/>
      <c r="V15" s="25"/>
      <c r="W15" s="25"/>
      <c r="AL15" s="16"/>
      <c r="AM15" s="16"/>
      <c r="AN15" s="15"/>
      <c r="AO15" s="15"/>
    </row>
    <row r="16" spans="1:41" s="2" customFormat="1" x14ac:dyDescent="0.25">
      <c r="A16" s="11"/>
      <c r="B16" s="25"/>
      <c r="C16" s="27" t="s">
        <v>18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AL16" s="16"/>
      <c r="AM16" s="16"/>
      <c r="AN16" s="15"/>
      <c r="AO16" s="15"/>
    </row>
    <row r="17" spans="1:41" s="2" customFormat="1" x14ac:dyDescent="0.25">
      <c r="A17" s="11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AL17" s="16"/>
      <c r="AM17" s="16"/>
      <c r="AN17" s="15"/>
      <c r="AO17" s="15"/>
    </row>
    <row r="18" spans="1:41" s="2" customFormat="1" x14ac:dyDescent="0.25">
      <c r="A18" s="11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AL18" s="16"/>
      <c r="AM18" s="16"/>
      <c r="AN18" s="15"/>
      <c r="AO18" s="15"/>
    </row>
    <row r="19" spans="1:41" s="2" customFormat="1" x14ac:dyDescent="0.25">
      <c r="A19" s="11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AL19" s="16"/>
      <c r="AM19" s="16"/>
      <c r="AN19" s="15"/>
      <c r="AO19" s="15"/>
    </row>
    <row r="20" spans="1:41" s="2" customFormat="1" x14ac:dyDescent="0.25">
      <c r="A20" s="11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AL20" s="16"/>
      <c r="AM20" s="16"/>
    </row>
    <row r="21" spans="1:41" s="2" customFormat="1" x14ac:dyDescent="0.25">
      <c r="A21" s="11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AL21" s="16"/>
      <c r="AM21" s="16"/>
    </row>
    <row r="22" spans="1:41" s="2" customFormat="1" x14ac:dyDescent="0.25">
      <c r="A22" s="11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AL22" s="16"/>
      <c r="AM22" s="16"/>
    </row>
    <row r="23" spans="1:41" s="2" customFormat="1" x14ac:dyDescent="0.25">
      <c r="A23" s="11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AL23" s="16"/>
      <c r="AM23" s="16"/>
    </row>
    <row r="24" spans="1:41" s="2" customFormat="1" x14ac:dyDescent="0.25">
      <c r="A24" s="11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AL24" s="16"/>
      <c r="AM24" s="16"/>
    </row>
    <row r="25" spans="1:41" s="2" customFormat="1" x14ac:dyDescent="0.25">
      <c r="A25" s="1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AL25" s="16"/>
      <c r="AM25" s="16"/>
    </row>
    <row r="26" spans="1:41" x14ac:dyDescent="0.25">
      <c r="A26" s="11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</row>
    <row r="27" spans="1:41" x14ac:dyDescent="0.25">
      <c r="A27" s="11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</row>
    <row r="28" spans="1:41" x14ac:dyDescent="0.25">
      <c r="A28" s="11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</row>
    <row r="29" spans="1:41" x14ac:dyDescent="0.25">
      <c r="A29" s="11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1:41" x14ac:dyDescent="0.25">
      <c r="A30" s="11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1:41" x14ac:dyDescent="0.25">
      <c r="A31" s="11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41" x14ac:dyDescent="0.25">
      <c r="A32" s="11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23" x14ac:dyDescent="0.25">
      <c r="A33" s="11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</row>
    <row r="34" spans="1:23" x14ac:dyDescent="0.25">
      <c r="A34" s="1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</row>
    <row r="35" spans="1:23" x14ac:dyDescent="0.25">
      <c r="A35" s="1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</row>
    <row r="36" spans="1:23" x14ac:dyDescent="0.25">
      <c r="A36" s="1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</row>
    <row r="37" spans="1:23" x14ac:dyDescent="0.25">
      <c r="A37" s="11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23" x14ac:dyDescent="0.25">
      <c r="A38" s="11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</row>
    <row r="39" spans="1:23" x14ac:dyDescent="0.25">
      <c r="A39" s="11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</row>
    <row r="40" spans="1:23" x14ac:dyDescent="0.25">
      <c r="A40" s="11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23" x14ac:dyDescent="0.25">
      <c r="A41" s="11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23" x14ac:dyDescent="0.25">
      <c r="A42" s="11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pans="1:23" x14ac:dyDescent="0.25">
      <c r="A43" s="11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23" x14ac:dyDescent="0.25">
      <c r="A44" s="11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pans="1:23" x14ac:dyDescent="0.25">
      <c r="A45" s="11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23" x14ac:dyDescent="0.25">
      <c r="A46" s="11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</row>
    <row r="47" spans="1:23" x14ac:dyDescent="0.25">
      <c r="A47" s="11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</row>
    <row r="48" spans="1:23" x14ac:dyDescent="0.25">
      <c r="A48" s="11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</row>
    <row r="49" spans="1:23" x14ac:dyDescent="0.25">
      <c r="A49" s="11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</row>
    <row r="50" spans="1:23" x14ac:dyDescent="0.25">
      <c r="A50" s="11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</row>
  </sheetData>
  <sheetProtection algorithmName="SHA-512" hashValue="llC5VDZDLI1L6VaOxNsKEyh7reYSRHn9O5ySi8s3r5ezm9SNpaTepi83VUHTM7w4hCtuz6YvBcAiloSjnBmvOw==" saltValue="fG1hrbf4cC/I8MOuK6zYfg==" spinCount="100000" sheet="1" objects="1" scenarios="1" selectLockedCells="1"/>
  <mergeCells count="6">
    <mergeCell ref="C2:D2"/>
    <mergeCell ref="E2:G2"/>
    <mergeCell ref="I2:K6"/>
    <mergeCell ref="C3:D3"/>
    <mergeCell ref="C4:D4"/>
    <mergeCell ref="C6:D6"/>
  </mergeCells>
  <dataValidations count="1">
    <dataValidation type="list" allowBlank="1" showInputMessage="1" showErrorMessage="1" sqref="E4" xr:uid="{00000000-0002-0000-0300-000000000000}">
      <formula1>"Monto, Capacidad"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50"/>
  <sheetViews>
    <sheetView showGridLines="0" topLeftCell="B1" zoomScale="130" zoomScaleNormal="130" workbookViewId="0">
      <selection activeCell="E6" sqref="E6"/>
    </sheetView>
  </sheetViews>
  <sheetFormatPr baseColWidth="10" defaultRowHeight="15" x14ac:dyDescent="0.25"/>
  <cols>
    <col min="1" max="1" width="3.140625" style="12" hidden="1" customWidth="1"/>
    <col min="2" max="2" width="2.42578125" style="8" customWidth="1"/>
    <col min="3" max="3" width="11.42578125" style="8"/>
    <col min="4" max="4" width="14.42578125" style="8" bestFit="1" customWidth="1"/>
    <col min="5" max="5" width="17.5703125" style="8" customWidth="1"/>
    <col min="6" max="6" width="13.5703125" style="8" bestFit="1" customWidth="1"/>
    <col min="7" max="7" width="13.5703125" style="8" customWidth="1"/>
    <col min="8" max="8" width="12.7109375" style="8" bestFit="1" customWidth="1"/>
    <col min="9" max="11" width="14.42578125" style="8" bestFit="1" customWidth="1"/>
    <col min="12" max="12" width="14.28515625" style="8" customWidth="1"/>
    <col min="13" max="13" width="1.5703125" style="8" customWidth="1"/>
    <col min="14" max="14" width="11.85546875" style="8" bestFit="1" customWidth="1"/>
    <col min="15" max="36" width="11.42578125" style="8"/>
    <col min="37" max="37" width="6.7109375" style="8" bestFit="1" customWidth="1"/>
    <col min="38" max="38" width="13.140625" style="18" bestFit="1" customWidth="1"/>
    <col min="39" max="39" width="13" style="18" bestFit="1" customWidth="1"/>
    <col min="40" max="40" width="6.28515625" style="8" bestFit="1" customWidth="1"/>
    <col min="41" max="41" width="12.5703125" style="8" bestFit="1" customWidth="1"/>
    <col min="42" max="16384" width="11.42578125" style="8"/>
  </cols>
  <sheetData>
    <row r="1" spans="1:41" s="2" customFormat="1" x14ac:dyDescent="0.25">
      <c r="A1" s="11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AK1" s="21" t="s">
        <v>14</v>
      </c>
      <c r="AL1" s="16" t="s">
        <v>13</v>
      </c>
      <c r="AM1" s="16" t="s">
        <v>15</v>
      </c>
      <c r="AN1" s="2" t="s">
        <v>16</v>
      </c>
      <c r="AO1" s="2" t="s">
        <v>17</v>
      </c>
    </row>
    <row r="2" spans="1:41" s="2" customFormat="1" ht="15.75" x14ac:dyDescent="0.25">
      <c r="A2" s="11"/>
      <c r="B2" s="25"/>
      <c r="C2" s="36" t="s">
        <v>0</v>
      </c>
      <c r="D2" s="36"/>
      <c r="E2" s="39" t="s">
        <v>22</v>
      </c>
      <c r="F2" s="39"/>
      <c r="G2" s="39"/>
      <c r="H2" s="25"/>
      <c r="I2" s="40" t="s">
        <v>24</v>
      </c>
      <c r="J2" s="40"/>
      <c r="K2" s="40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AK2" s="21">
        <v>30</v>
      </c>
      <c r="AL2" s="16">
        <v>500000</v>
      </c>
      <c r="AM2" s="22">
        <v>24395.360000000001</v>
      </c>
      <c r="AN2" s="15">
        <f>RATE(AK2,AM2,-AL2,0,0)</f>
        <v>2.6581366928015542E-2</v>
      </c>
      <c r="AO2" s="15">
        <f>AN2/1.16</f>
        <v>2.2914971489668572E-2</v>
      </c>
    </row>
    <row r="3" spans="1:41" s="2" customFormat="1" ht="15" customHeight="1" x14ac:dyDescent="0.25">
      <c r="A3" s="11"/>
      <c r="B3" s="25"/>
      <c r="C3" s="36" t="s">
        <v>1</v>
      </c>
      <c r="D3" s="36"/>
      <c r="E3" s="31" t="s">
        <v>2</v>
      </c>
      <c r="F3" s="25"/>
      <c r="G3" s="25"/>
      <c r="H3" s="25"/>
      <c r="I3" s="40"/>
      <c r="J3" s="40"/>
      <c r="K3" s="40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AK3" s="21">
        <v>36</v>
      </c>
      <c r="AL3" s="16">
        <v>500000</v>
      </c>
      <c r="AM3" s="22">
        <v>21748.799999999999</v>
      </c>
      <c r="AN3" s="15">
        <f>RATE(AK3,AM3,-AL3,0,0)</f>
        <v>2.6581361892944973E-2</v>
      </c>
      <c r="AO3" s="15">
        <f>AN3/1.16</f>
        <v>2.2914967149090495E-2</v>
      </c>
    </row>
    <row r="4" spans="1:41" s="2" customFormat="1" ht="15.75" customHeight="1" x14ac:dyDescent="0.25">
      <c r="A4" s="11"/>
      <c r="B4" s="25"/>
      <c r="C4" s="36" t="s">
        <v>9</v>
      </c>
      <c r="D4" s="36"/>
      <c r="E4" s="1" t="s">
        <v>23</v>
      </c>
      <c r="F4" s="25"/>
      <c r="G4" s="25"/>
      <c r="H4" s="33"/>
      <c r="I4" s="40"/>
      <c r="J4" s="40"/>
      <c r="K4" s="40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AK4" s="21">
        <v>42</v>
      </c>
      <c r="AL4" s="16">
        <v>500000</v>
      </c>
      <c r="AM4" s="22">
        <v>19903.98</v>
      </c>
      <c r="AN4" s="15">
        <f>RATE(AK4,AM4,-AL4,0,0)</f>
        <v>2.6581361362648964E-2</v>
      </c>
      <c r="AO4" s="15">
        <f>AN4/1.16</f>
        <v>2.2914966691938765E-2</v>
      </c>
    </row>
    <row r="5" spans="1:41" s="2" customFormat="1" x14ac:dyDescent="0.25">
      <c r="A5" s="11"/>
      <c r="B5" s="25"/>
      <c r="C5" s="31"/>
      <c r="D5" s="31"/>
      <c r="E5" s="25"/>
      <c r="F5" s="25"/>
      <c r="G5" s="25"/>
      <c r="H5" s="33"/>
      <c r="I5" s="40"/>
      <c r="J5" s="40"/>
      <c r="K5" s="40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AK5" s="21">
        <v>48</v>
      </c>
      <c r="AL5" s="16">
        <v>500000</v>
      </c>
      <c r="AM5" s="22">
        <v>18559.009999999998</v>
      </c>
      <c r="AN5" s="15">
        <f>RATE(AK5,AM5,-AL5,0,0)</f>
        <v>2.6581366412508928E-2</v>
      </c>
      <c r="AO5" s="15">
        <f>AN5/1.16</f>
        <v>2.2914971045266318E-2</v>
      </c>
    </row>
    <row r="6" spans="1:41" s="2" customFormat="1" ht="18.75" x14ac:dyDescent="0.3">
      <c r="A6" s="11"/>
      <c r="B6" s="25"/>
      <c r="C6" s="36" t="str">
        <f>IF(E4="MONTO","Ingrese el Monto:","Ingrese la capacidad:")</f>
        <v>Ingrese el Monto:</v>
      </c>
      <c r="D6" s="36"/>
      <c r="E6" s="9">
        <v>300000</v>
      </c>
      <c r="F6" s="25"/>
      <c r="G6" s="25"/>
      <c r="H6" s="33"/>
      <c r="I6" s="40"/>
      <c r="J6" s="40"/>
      <c r="K6" s="40"/>
      <c r="L6" s="32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AK6" s="21">
        <v>54</v>
      </c>
      <c r="AL6" s="16">
        <v>500000</v>
      </c>
      <c r="AM6" s="22">
        <v>17546.05</v>
      </c>
      <c r="AN6" s="15">
        <f t="shared" ref="AN6:AN7" si="0">RATE(AK6,AM6,-AL6,0,0)</f>
        <v>2.6581366395352708E-2</v>
      </c>
      <c r="AO6" s="15">
        <f t="shared" ref="AO6:AO7" si="1">AN6/1.16</f>
        <v>2.2914971030476475E-2</v>
      </c>
    </row>
    <row r="7" spans="1:41" s="2" customFormat="1" x14ac:dyDescent="0.25">
      <c r="A7" s="11"/>
      <c r="B7" s="25"/>
      <c r="C7" s="25"/>
      <c r="D7" s="25"/>
      <c r="E7" s="25"/>
      <c r="F7" s="33"/>
      <c r="G7" s="33"/>
      <c r="H7" s="33"/>
      <c r="I7" s="34"/>
      <c r="J7" s="3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AK7" s="21">
        <v>60</v>
      </c>
      <c r="AL7" s="16">
        <v>500000</v>
      </c>
      <c r="AM7" s="22">
        <v>16764.310000000001</v>
      </c>
      <c r="AN7" s="15">
        <f t="shared" si="0"/>
        <v>2.6581369031389964E-2</v>
      </c>
      <c r="AO7" s="15">
        <f t="shared" si="1"/>
        <v>2.2914973302922383E-2</v>
      </c>
    </row>
    <row r="8" spans="1:41" s="2" customFormat="1" x14ac:dyDescent="0.25">
      <c r="A8" s="11"/>
      <c r="B8" s="25"/>
      <c r="C8" s="4" t="s">
        <v>3</v>
      </c>
      <c r="D8" s="4" t="s">
        <v>4</v>
      </c>
      <c r="E8" s="4" t="s">
        <v>5</v>
      </c>
      <c r="F8" s="4" t="s">
        <v>19</v>
      </c>
      <c r="G8" s="4" t="s">
        <v>20</v>
      </c>
      <c r="H8" s="4" t="s">
        <v>10</v>
      </c>
      <c r="I8" s="4" t="s">
        <v>7</v>
      </c>
      <c r="J8" s="4" t="s">
        <v>11</v>
      </c>
      <c r="K8" s="4" t="s">
        <v>12</v>
      </c>
      <c r="L8" s="4" t="s">
        <v>6</v>
      </c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AL8" s="16"/>
      <c r="AM8" s="16"/>
      <c r="AN8" s="15"/>
      <c r="AO8" s="15"/>
    </row>
    <row r="9" spans="1:41" s="2" customFormat="1" x14ac:dyDescent="0.25">
      <c r="A9" s="10">
        <v>30</v>
      </c>
      <c r="B9" s="25"/>
      <c r="C9" s="5" t="str">
        <f t="shared" ref="C9:C10" si="2">CONCATENATE(A9," M")</f>
        <v>30 M</v>
      </c>
      <c r="D9" s="13">
        <f>IF(IF($E$4="MONTO",IF((IF(MOD($E$6,1000)=0,$E$6,$E$6-MOD($E$6,1000)))&gt;500000,500000,IF(MOD($E$6,1000)=0,$E$6,$E$6-MOD($E$6,1000))),IF(((1-(1+F9)^(-A9))/(F9))*$E$6&gt;500000,500000,IF(MOD(((1-(1+F9)^(-A9))/(F9))*$E$6,1000)=0,((1-(1+F9)^(-A9))/(F9))*$E$6,((1-(1+F9)^(-A9))/(F9))*$E$6-MOD(((1-(1+F9)^(-A9))/(F9))*$E$6,1000))))&gt;=40000,
IF($E$4="MONTO",IF((IF(MOD($E$6,1000)=0,$E$6,$E$6-MOD($E$6,1000)))&gt;500000,500000,IF(MOD($E$6,1000)=0,$E$6,$E$6-MOD($E$6,1000))),IF(((1-(1+F9)^(-A9))/(F9))*$E$6&gt;500000,500000,IF(MOD(((1-(1+F9)^(-A9))/(F9))*$E$6,1000)=0,((1-(1+F9)^(-A9))/(F9))*$E$6,((1-(1+F9)^(-A9))/(F9))*$E$6-MOD(((1-(1+F9)^(-A9))/(F9))*$E$6,1000)))),
0)</f>
        <v>300000</v>
      </c>
      <c r="E9" s="6">
        <f t="shared" ref="E9:E14" si="3">-PMT(F9,A9,D9,,0)</f>
        <v>14637.216000000022</v>
      </c>
      <c r="F9" s="7">
        <f t="shared" ref="F9:F14" si="4">VLOOKUP(A9,AK:AO,4,0)</f>
        <v>2.6581366928015542E-2</v>
      </c>
      <c r="G9" s="7">
        <f t="shared" ref="G9:G14" si="5">VLOOKUP(A9,AK:AO,5,0)</f>
        <v>2.2914971489668572E-2</v>
      </c>
      <c r="H9" s="7">
        <f t="shared" ref="H9:H14" si="6">IFERROR(((L9-I9)/I9)/A9,0)</f>
        <v>1.5457386666666743E-2</v>
      </c>
      <c r="I9" s="6">
        <f t="shared" ref="I9:I14" si="7">D9</f>
        <v>300000</v>
      </c>
      <c r="J9" s="6">
        <f t="shared" ref="J9:J14" si="8">(L9-I9)/1.16</f>
        <v>119928.0000000006</v>
      </c>
      <c r="K9" s="6">
        <f t="shared" ref="K9:K14" si="9">J9*16%</f>
        <v>19188.480000000094</v>
      </c>
      <c r="L9" s="6">
        <f t="shared" ref="L9:L14" si="10">E9*A9</f>
        <v>439116.48000000068</v>
      </c>
      <c r="M9" s="28"/>
      <c r="N9" s="25"/>
      <c r="O9" s="25"/>
      <c r="P9" s="25"/>
      <c r="Q9" s="25"/>
      <c r="R9" s="25"/>
      <c r="S9" s="25"/>
      <c r="T9" s="25"/>
      <c r="U9" s="25"/>
      <c r="V9" s="25"/>
      <c r="W9" s="25"/>
      <c r="AL9" s="16"/>
      <c r="AM9" s="16"/>
      <c r="AN9" s="15"/>
      <c r="AO9" s="15"/>
    </row>
    <row r="10" spans="1:41" s="2" customFormat="1" x14ac:dyDescent="0.25">
      <c r="A10" s="10">
        <v>36</v>
      </c>
      <c r="B10" s="25"/>
      <c r="C10" s="5" t="str">
        <f t="shared" si="2"/>
        <v>36 M</v>
      </c>
      <c r="D10" s="13">
        <f>IF(IF($E$4="MONTO",IF((IF(MOD($E$6,1000)=0,$E$6,$E$6-MOD($E$6,1000)))&gt;500000,500000,IF(MOD($E$6,1000)=0,$E$6,$E$6-MOD($E$6,1000))),IF(((1-(1+F10)^(-A10))/(F10))*$E$6&gt;500000,500000,IF(MOD(((1-(1+F10)^(-A10))/(F10))*$E$6,1000)=0,((1-(1+F10)^(-A10))/(F10))*$E$6,((1-(1+F10)^(-A10))/(F10))*$E$6-MOD(((1-(1+F10)^(-A10))/(F10))*$E$6,1000))))&gt;=20000,
IF($E$4="MONTO",IF((IF(MOD($E$6,1000)=0,$E$6,$E$6-MOD($E$6,1000)))&gt;500000,500000,IF(MOD($E$6,1000)=0,$E$6,$E$6-MOD($E$6,1000))),IF(((1-(1+F10)^(-A10))/(F10))*$E$6&gt;500000,500000,IF(MOD(((1-(1+F10)^(-A10))/(F10))*$E$6,1000)=0,((1-(1+F10)^(-A10))/(F10))*$E$6,((1-(1+F10)^(-A10))/(F10))*$E$6-MOD(((1-(1+F10)^(-A10))/(F10))*$E$6,1000)))),
0)</f>
        <v>300000</v>
      </c>
      <c r="E10" s="6">
        <f t="shared" si="3"/>
        <v>13049.279999999984</v>
      </c>
      <c r="F10" s="7">
        <f t="shared" si="4"/>
        <v>2.6581361892944973E-2</v>
      </c>
      <c r="G10" s="7">
        <f t="shared" si="5"/>
        <v>2.2914967149090495E-2</v>
      </c>
      <c r="H10" s="7">
        <f t="shared" si="6"/>
        <v>1.5719822222222169E-2</v>
      </c>
      <c r="I10" s="6">
        <f t="shared" si="7"/>
        <v>300000</v>
      </c>
      <c r="J10" s="6">
        <f t="shared" si="8"/>
        <v>146356.9655172409</v>
      </c>
      <c r="K10" s="6">
        <f t="shared" si="9"/>
        <v>23417.114482758545</v>
      </c>
      <c r="L10" s="6">
        <f t="shared" si="10"/>
        <v>469774.07999999943</v>
      </c>
      <c r="M10" s="28"/>
      <c r="N10" s="25"/>
      <c r="O10" s="25"/>
      <c r="P10" s="25"/>
      <c r="Q10" s="25"/>
      <c r="R10" s="25"/>
      <c r="S10" s="25"/>
      <c r="T10" s="25"/>
      <c r="U10" s="25"/>
      <c r="V10" s="25"/>
      <c r="W10" s="25"/>
      <c r="AL10" s="16"/>
      <c r="AM10" s="16"/>
      <c r="AN10" s="15"/>
      <c r="AO10" s="15"/>
    </row>
    <row r="11" spans="1:41" s="2" customFormat="1" x14ac:dyDescent="0.25">
      <c r="A11" s="10">
        <v>42</v>
      </c>
      <c r="B11" s="25"/>
      <c r="C11" s="5" t="str">
        <f>CONCATENATE(A11," M")</f>
        <v>42 M</v>
      </c>
      <c r="D11" s="13">
        <f>IF(IF($E$4="MONTO",IF((IF(MOD($E$6,1000)=0,$E$6,$E$6-MOD($E$6,1000)))&gt;500000,500000,IF(MOD($E$6,1000)=0,$E$6,$E$6-MOD($E$6,1000))),IF(((1-(1+F11)^(-A11))/(F11))*$E$6&gt;500000,500000,IF(MOD(((1-(1+F11)^(-A11))/(F11))*$E$6,1000)=0,((1-(1+F11)^(-A11))/(F11))*$E$6,((1-(1+F11)^(-A11))/(F11))*$E$6-MOD(((1-(1+F11)^(-A11))/(F11))*$E$6,1000))))&gt;=5000,
IF($E$4="MONTO",IF((IF(MOD($E$6,1000)=0,$E$6,$E$6-MOD($E$6,1000)))&gt;500000,500000,IF(MOD($E$6,1000)=0,$E$6,$E$6-MOD($E$6,1000))),IF(((1-(1+F11)^(-A11))/(F11))*$E$6&gt;500000,500000,IF(MOD(((1-(1+F11)^(-A11))/(F11))*$E$6,1000)=0,((1-(1+F11)^(-A11))/(F11))*$E$6,((1-(1+F11)^(-A11))/(F11))*$E$6-MOD(((1-(1+F11)^(-A11))/(F11))*$E$6,1000)))),
0)</f>
        <v>300000</v>
      </c>
      <c r="E11" s="6">
        <f t="shared" si="3"/>
        <v>11942.388000000272</v>
      </c>
      <c r="F11" s="7">
        <f t="shared" si="4"/>
        <v>2.6581361362648964E-2</v>
      </c>
      <c r="G11" s="7">
        <f t="shared" si="5"/>
        <v>2.2914966691938765E-2</v>
      </c>
      <c r="H11" s="7">
        <f t="shared" si="6"/>
        <v>1.5998436190477101E-2</v>
      </c>
      <c r="I11" s="6">
        <f t="shared" si="7"/>
        <v>300000</v>
      </c>
      <c r="J11" s="6">
        <f t="shared" si="8"/>
        <v>173776.11724138918</v>
      </c>
      <c r="K11" s="6">
        <f t="shared" si="9"/>
        <v>27804.178758622267</v>
      </c>
      <c r="L11" s="6">
        <f t="shared" si="10"/>
        <v>501580.29600001144</v>
      </c>
      <c r="M11" s="28"/>
      <c r="N11" s="25"/>
      <c r="O11" s="25"/>
      <c r="P11" s="25"/>
      <c r="Q11" s="25"/>
      <c r="R11" s="25"/>
      <c r="S11" s="25"/>
      <c r="T11" s="25"/>
      <c r="U11" s="25"/>
      <c r="V11" s="25"/>
      <c r="W11" s="25"/>
      <c r="AL11" s="16"/>
      <c r="AM11" s="16"/>
    </row>
    <row r="12" spans="1:41" s="2" customFormat="1" x14ac:dyDescent="0.25">
      <c r="A12" s="10">
        <v>48</v>
      </c>
      <c r="B12" s="25"/>
      <c r="C12" s="5" t="str">
        <f t="shared" ref="C12:C14" si="11">CONCATENATE(A12," M")</f>
        <v>48 M</v>
      </c>
      <c r="D12" s="13">
        <f>IF(IF($E$4="MONTO",IF((IF(MOD($E$6,1000)=0,$E$6,$E$6-MOD($E$6,1000)))&gt;500000,500000,IF(MOD($E$6,1000)=0,$E$6,$E$6-MOD($E$6,1000))),IF(((1-(1+F12)^(-A12))/(F12))*$E$6&gt;500000,500000,IF(MOD(((1-(1+F12)^(-A12))/(F12))*$E$6,1000)=0,((1-(1+F12)^(-A12))/(F12))*$E$6,((1-(1+F12)^(-A12))/(F12))*$E$6-MOD(((1-(1+F12)^(-A12))/(F12))*$E$6,1000))))&gt;=5000,
IF($E$4="MONTO",IF((IF(MOD($E$6,1000)=0,$E$6,$E$6-MOD($E$6,1000)))&gt;500000,500000,IF(MOD($E$6,1000)=0,$E$6,$E$6-MOD($E$6,1000))),IF(((1-(1+F12)^(-A12))/(F12))*$E$6&gt;500000,500000,IF(MOD(((1-(1+F12)^(-A12))/(F12))*$E$6,1000)=0,((1-(1+F12)^(-A12))/(F12))*$E$6,((1-(1+F12)^(-A12))/(F12))*$E$6-MOD(((1-(1+F12)^(-A12))/(F12))*$E$6,1000)))),
0)</f>
        <v>300000</v>
      </c>
      <c r="E12" s="6">
        <f t="shared" si="3"/>
        <v>11135.406000000001</v>
      </c>
      <c r="F12" s="7">
        <f t="shared" si="4"/>
        <v>2.6581366412508928E-2</v>
      </c>
      <c r="G12" s="7">
        <f t="shared" si="5"/>
        <v>2.2914971045266318E-2</v>
      </c>
      <c r="H12" s="7">
        <f t="shared" si="6"/>
        <v>1.6284686666666669E-2</v>
      </c>
      <c r="I12" s="6">
        <f t="shared" si="7"/>
        <v>300000</v>
      </c>
      <c r="J12" s="6">
        <f t="shared" si="8"/>
        <v>202154.73103448277</v>
      </c>
      <c r="K12" s="6">
        <f t="shared" si="9"/>
        <v>32344.756965517245</v>
      </c>
      <c r="L12" s="6">
        <f t="shared" si="10"/>
        <v>534499.48800000001</v>
      </c>
      <c r="M12" s="28"/>
      <c r="N12" s="25"/>
      <c r="O12" s="25"/>
      <c r="P12" s="25"/>
      <c r="Q12" s="25"/>
      <c r="R12" s="25"/>
      <c r="S12" s="25"/>
      <c r="T12" s="25"/>
      <c r="U12" s="25"/>
      <c r="V12" s="25"/>
      <c r="W12" s="25"/>
      <c r="AL12" s="16"/>
      <c r="AM12" s="16"/>
    </row>
    <row r="13" spans="1:41" s="2" customFormat="1" x14ac:dyDescent="0.25">
      <c r="A13" s="10">
        <v>54</v>
      </c>
      <c r="B13" s="25"/>
      <c r="C13" s="5" t="str">
        <f t="shared" si="11"/>
        <v>54 M</v>
      </c>
      <c r="D13" s="13">
        <f>IF(IF($E$4="MONTO",IF((IF(MOD($E$6,1000)=0,$E$6,$E$6-MOD($E$6,1000)))&gt;500000,500000,IF(MOD($E$6,1000)=0,$E$6,$E$6-MOD($E$6,1000))),IF(((1-(1+F13)^(-A13))/(F13))*$E$6&gt;500000,500000,IF(MOD(((1-(1+F13)^(-A13))/(F13))*$E$6,1000)=0,((1-(1+F13)^(-A13))/(F13))*$E$6,((1-(1+F13)^(-A13))/(F13))*$E$6-MOD(((1-(1+F13)^(-A13))/(F13))*$E$6,1000))))&gt;=5000,
IF($E$4="MONTO",IF((IF(MOD($E$6,1000)=0,$E$6,$E$6-MOD($E$6,1000)))&gt;500000,500000,IF(MOD($E$6,1000)=0,$E$6,$E$6-MOD($E$6,1000))),IF(((1-(1+F13)^(-A13))/(F13))*$E$6&gt;500000,500000,IF(MOD(((1-(1+F13)^(-A13))/(F13))*$E$6,1000)=0,((1-(1+F13)^(-A13))/(F13))*$E$6,((1-(1+F13)^(-A13))/(F13))*$E$6-MOD(((1-(1+F13)^(-A13))/(F13))*$E$6,1000)))),
0)</f>
        <v>300000</v>
      </c>
      <c r="E13" s="6">
        <f t="shared" si="3"/>
        <v>10527.63</v>
      </c>
      <c r="F13" s="7">
        <f t="shared" si="4"/>
        <v>2.6581366395352708E-2</v>
      </c>
      <c r="G13" s="7">
        <f t="shared" si="5"/>
        <v>2.2914971030476475E-2</v>
      </c>
      <c r="H13" s="7">
        <f t="shared" si="6"/>
        <v>1.6573581481481477E-2</v>
      </c>
      <c r="I13" s="6">
        <f t="shared" si="7"/>
        <v>300000</v>
      </c>
      <c r="J13" s="6">
        <f t="shared" si="8"/>
        <v>231458.63793103441</v>
      </c>
      <c r="K13" s="6">
        <f t="shared" si="9"/>
        <v>37033.382068965504</v>
      </c>
      <c r="L13" s="6">
        <f t="shared" si="10"/>
        <v>568492.0199999999</v>
      </c>
      <c r="M13" s="28"/>
      <c r="N13" s="25"/>
      <c r="O13" s="25"/>
      <c r="P13" s="25"/>
      <c r="Q13" s="25"/>
      <c r="R13" s="25"/>
      <c r="S13" s="25"/>
      <c r="T13" s="25"/>
      <c r="U13" s="25"/>
      <c r="V13" s="25"/>
      <c r="W13" s="25"/>
      <c r="AL13" s="16"/>
      <c r="AM13" s="16"/>
    </row>
    <row r="14" spans="1:41" s="2" customFormat="1" x14ac:dyDescent="0.25">
      <c r="A14" s="10">
        <v>60</v>
      </c>
      <c r="B14" s="25"/>
      <c r="C14" s="5" t="str">
        <f t="shared" si="11"/>
        <v>60 M</v>
      </c>
      <c r="D14" s="13">
        <f>IF(IF($E$4="MONTO",IF((IF(MOD($E$6,1000)=0,$E$6,$E$6-MOD($E$6,1000)))&gt;500000,500000,IF(MOD($E$6,1000)=0,$E$6,$E$6-MOD($E$6,1000))),IF(((1-(1+F14)^(-A14))/(F14))*$E$6&gt;500000,500000,IF(MOD(((1-(1+F14)^(-A14))/(F14))*$E$6,1000)=0,((1-(1+F14)^(-A14))/(F14))*$E$6,((1-(1+F14)^(-A14))/(F14))*$E$6-MOD(((1-(1+F14)^(-A14))/(F14))*$E$6,1000))))&gt;=5000,
IF($E$4="MONTO",IF((IF(MOD($E$6,1000)=0,$E$6,$E$6-MOD($E$6,1000)))&gt;500000,500000,IF(MOD($E$6,1000)=0,$E$6,$E$6-MOD($E$6,1000))),IF(((1-(1+F14)^(-A14))/(F14))*$E$6&gt;500000,500000,IF(MOD(((1-(1+F14)^(-A14))/(F14))*$E$6,1000)=0,((1-(1+F14)^(-A14))/(F14))*$E$6,((1-(1+F14)^(-A14))/(F14))*$E$6-MOD(((1-(1+F14)^(-A14))/(F14))*$E$6,1000)))),
0)</f>
        <v>300000</v>
      </c>
      <c r="E14" s="6">
        <f t="shared" si="3"/>
        <v>10058.585999999988</v>
      </c>
      <c r="F14" s="7">
        <f t="shared" si="4"/>
        <v>2.6581369031389964E-2</v>
      </c>
      <c r="G14" s="7">
        <f t="shared" si="5"/>
        <v>2.2914973302922383E-2</v>
      </c>
      <c r="H14" s="7">
        <f t="shared" si="6"/>
        <v>1.6861953333333297E-2</v>
      </c>
      <c r="I14" s="6">
        <f t="shared" si="7"/>
        <v>300000</v>
      </c>
      <c r="J14" s="6">
        <f t="shared" si="8"/>
        <v>261650.99999999945</v>
      </c>
      <c r="K14" s="6">
        <f t="shared" si="9"/>
        <v>41864.159999999909</v>
      </c>
      <c r="L14" s="6">
        <f t="shared" si="10"/>
        <v>603515.15999999933</v>
      </c>
      <c r="M14" s="28"/>
      <c r="N14" s="25"/>
      <c r="O14" s="25"/>
      <c r="P14" s="25"/>
      <c r="Q14" s="25"/>
      <c r="R14" s="25"/>
      <c r="S14" s="25"/>
      <c r="T14" s="25"/>
      <c r="U14" s="25"/>
      <c r="V14" s="25"/>
      <c r="W14" s="25"/>
      <c r="AL14" s="16"/>
      <c r="AM14" s="16"/>
    </row>
    <row r="15" spans="1:41" s="2" customFormat="1" x14ac:dyDescent="0.25">
      <c r="A15" s="11"/>
      <c r="B15" s="25"/>
      <c r="C15" s="27" t="s">
        <v>8</v>
      </c>
      <c r="D15" s="25"/>
      <c r="E15" s="25"/>
      <c r="F15" s="25"/>
      <c r="G15" s="25"/>
      <c r="H15" s="25"/>
      <c r="I15" s="25"/>
      <c r="J15" s="25"/>
      <c r="K15" s="25"/>
      <c r="L15" s="25"/>
      <c r="M15" s="28"/>
      <c r="N15" s="25"/>
      <c r="O15" s="25"/>
      <c r="P15" s="25"/>
      <c r="Q15" s="25"/>
      <c r="R15" s="25"/>
      <c r="S15" s="25"/>
      <c r="T15" s="25"/>
      <c r="U15" s="25"/>
      <c r="V15" s="25"/>
      <c r="W15" s="25"/>
      <c r="AL15" s="16"/>
      <c r="AM15" s="16"/>
      <c r="AN15" s="15"/>
      <c r="AO15" s="15"/>
    </row>
    <row r="16" spans="1:41" s="2" customFormat="1" x14ac:dyDescent="0.25">
      <c r="A16" s="11"/>
      <c r="B16" s="25"/>
      <c r="C16" s="27" t="s">
        <v>18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AL16" s="16"/>
      <c r="AM16" s="16"/>
      <c r="AN16" s="15"/>
      <c r="AO16" s="15"/>
    </row>
    <row r="17" spans="1:41" s="2" customFormat="1" x14ac:dyDescent="0.25">
      <c r="A17" s="11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AL17" s="16"/>
      <c r="AM17" s="16"/>
      <c r="AN17" s="15"/>
      <c r="AO17" s="15"/>
    </row>
    <row r="18" spans="1:41" s="2" customFormat="1" x14ac:dyDescent="0.25">
      <c r="A18" s="11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AL18" s="16"/>
      <c r="AM18" s="16"/>
      <c r="AN18" s="15"/>
      <c r="AO18" s="15"/>
    </row>
    <row r="19" spans="1:41" s="2" customFormat="1" x14ac:dyDescent="0.25">
      <c r="A19" s="11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AL19" s="16"/>
      <c r="AM19" s="16"/>
      <c r="AN19" s="15"/>
      <c r="AO19" s="15"/>
    </row>
    <row r="20" spans="1:41" s="2" customFormat="1" x14ac:dyDescent="0.25">
      <c r="A20" s="11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AL20" s="16"/>
      <c r="AM20" s="16"/>
    </row>
    <row r="21" spans="1:41" s="2" customFormat="1" x14ac:dyDescent="0.25">
      <c r="A21" s="11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AL21" s="16"/>
      <c r="AM21" s="16"/>
    </row>
    <row r="22" spans="1:41" s="2" customFormat="1" x14ac:dyDescent="0.25">
      <c r="A22" s="11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AL22" s="16"/>
      <c r="AM22" s="16"/>
    </row>
    <row r="23" spans="1:41" s="2" customFormat="1" x14ac:dyDescent="0.25">
      <c r="A23" s="11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AL23" s="16"/>
      <c r="AM23" s="16"/>
    </row>
    <row r="24" spans="1:41" s="2" customFormat="1" x14ac:dyDescent="0.25">
      <c r="A24" s="11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AL24" s="16"/>
      <c r="AM24" s="16"/>
    </row>
    <row r="25" spans="1:41" s="2" customFormat="1" x14ac:dyDescent="0.25">
      <c r="A25" s="1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AL25" s="16"/>
      <c r="AM25" s="16"/>
    </row>
    <row r="26" spans="1:41" x14ac:dyDescent="0.25">
      <c r="A26" s="11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</row>
    <row r="27" spans="1:41" x14ac:dyDescent="0.25">
      <c r="A27" s="11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</row>
    <row r="28" spans="1:41" x14ac:dyDescent="0.25">
      <c r="A28" s="11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</row>
    <row r="29" spans="1:41" x14ac:dyDescent="0.25">
      <c r="A29" s="11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1:41" x14ac:dyDescent="0.25">
      <c r="A30" s="11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1:41" x14ac:dyDescent="0.25">
      <c r="A31" s="11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41" x14ac:dyDescent="0.25">
      <c r="A32" s="11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23" x14ac:dyDescent="0.25">
      <c r="A33" s="11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</row>
    <row r="34" spans="1:23" x14ac:dyDescent="0.25">
      <c r="A34" s="1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</row>
    <row r="35" spans="1:23" x14ac:dyDescent="0.25">
      <c r="A35" s="1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</row>
    <row r="36" spans="1:23" x14ac:dyDescent="0.25">
      <c r="A36" s="1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</row>
    <row r="37" spans="1:23" x14ac:dyDescent="0.25">
      <c r="A37" s="11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23" x14ac:dyDescent="0.25">
      <c r="A38" s="11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</row>
    <row r="39" spans="1:23" x14ac:dyDescent="0.25">
      <c r="A39" s="11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</row>
    <row r="40" spans="1:23" x14ac:dyDescent="0.25">
      <c r="A40" s="11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23" x14ac:dyDescent="0.25">
      <c r="A41" s="11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23" x14ac:dyDescent="0.25">
      <c r="A42" s="11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pans="1:23" x14ac:dyDescent="0.25">
      <c r="A43" s="11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23" x14ac:dyDescent="0.25">
      <c r="A44" s="11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pans="1:23" x14ac:dyDescent="0.25">
      <c r="A45" s="11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23" x14ac:dyDescent="0.25">
      <c r="A46" s="11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</row>
    <row r="47" spans="1:23" x14ac:dyDescent="0.25">
      <c r="A47" s="11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</row>
    <row r="48" spans="1:23" x14ac:dyDescent="0.25">
      <c r="A48" s="11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</row>
    <row r="49" spans="1:23" x14ac:dyDescent="0.25">
      <c r="A49" s="11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</row>
    <row r="50" spans="1:23" x14ac:dyDescent="0.25">
      <c r="A50" s="11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</row>
  </sheetData>
  <sheetProtection algorithmName="SHA-512" hashValue="ExUpBgNgaRYL/tmDWkVionY+6skxnwNcKcSue85yT3ZJ4W4eSK48IB3z3vbC9PEwLGjqCqLm1L7I3TDUbERb5A==" saltValue="A1WGhyTWIarD7eAvj0GT0g==" spinCount="100000" sheet="1" objects="1" scenarios="1" selectLockedCells="1"/>
  <mergeCells count="6">
    <mergeCell ref="C2:D2"/>
    <mergeCell ref="E2:G2"/>
    <mergeCell ref="I2:K6"/>
    <mergeCell ref="C3:D3"/>
    <mergeCell ref="C4:D4"/>
    <mergeCell ref="C6:D6"/>
  </mergeCells>
  <dataValidations count="1">
    <dataValidation type="list" allowBlank="1" showInputMessage="1" showErrorMessage="1" sqref="E4" xr:uid="{00000000-0002-0000-0400-000000000000}">
      <formula1>"Monto, Capacidad"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51"/>
  <sheetViews>
    <sheetView showGridLines="0" topLeftCell="B1" zoomScale="130" zoomScaleNormal="130" workbookViewId="0">
      <selection activeCell="E6" sqref="E6"/>
    </sheetView>
  </sheetViews>
  <sheetFormatPr baseColWidth="10" defaultRowHeight="15" x14ac:dyDescent="0.25"/>
  <cols>
    <col min="1" max="1" width="3.140625" style="12" hidden="1" customWidth="1"/>
    <col min="2" max="2" width="2.42578125" style="8" customWidth="1"/>
    <col min="3" max="3" width="11.42578125" style="8"/>
    <col min="4" max="4" width="14.42578125" style="8" bestFit="1" customWidth="1"/>
    <col min="5" max="5" width="17.5703125" style="8" customWidth="1"/>
    <col min="6" max="6" width="13.5703125" style="8" bestFit="1" customWidth="1"/>
    <col min="7" max="7" width="13.5703125" style="8" customWidth="1"/>
    <col min="8" max="8" width="12.7109375" style="8" bestFit="1" customWidth="1"/>
    <col min="9" max="11" width="14.42578125" style="8" bestFit="1" customWidth="1"/>
    <col min="12" max="12" width="14.28515625" style="8" customWidth="1"/>
    <col min="13" max="13" width="1.5703125" style="8" customWidth="1"/>
    <col min="14" max="14" width="11.85546875" style="8" bestFit="1" customWidth="1"/>
    <col min="15" max="36" width="11.42578125" style="8"/>
    <col min="37" max="37" width="6.7109375" style="8" bestFit="1" customWidth="1"/>
    <col min="38" max="38" width="13.140625" style="18" bestFit="1" customWidth="1"/>
    <col min="39" max="39" width="13" style="18" bestFit="1" customWidth="1"/>
    <col min="40" max="40" width="6.28515625" style="8" bestFit="1" customWidth="1"/>
    <col min="41" max="41" width="12.5703125" style="8" bestFit="1" customWidth="1"/>
    <col min="42" max="16384" width="11.42578125" style="8"/>
  </cols>
  <sheetData>
    <row r="1" spans="1:41" s="2" customFormat="1" x14ac:dyDescent="0.25">
      <c r="A1" s="11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AK1" s="21" t="s">
        <v>14</v>
      </c>
      <c r="AL1" s="16" t="s">
        <v>13</v>
      </c>
      <c r="AM1" s="16" t="s">
        <v>15</v>
      </c>
      <c r="AN1" s="2" t="s">
        <v>16</v>
      </c>
      <c r="AO1" s="2" t="s">
        <v>17</v>
      </c>
    </row>
    <row r="2" spans="1:41" s="2" customFormat="1" ht="15.75" customHeight="1" x14ac:dyDescent="0.25">
      <c r="A2" s="11"/>
      <c r="B2" s="25"/>
      <c r="C2" s="36" t="s">
        <v>0</v>
      </c>
      <c r="D2" s="36"/>
      <c r="E2" s="39" t="s">
        <v>22</v>
      </c>
      <c r="F2" s="39"/>
      <c r="G2" s="39"/>
      <c r="H2" s="25"/>
      <c r="I2" s="40" t="s">
        <v>29</v>
      </c>
      <c r="J2" s="40"/>
      <c r="K2" s="40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AK2" s="21">
        <v>30</v>
      </c>
      <c r="AL2" s="16">
        <v>500000</v>
      </c>
      <c r="AM2" s="24">
        <v>24093.13</v>
      </c>
      <c r="AN2" s="15">
        <f>RATE(AK2,AM2,-AL2,0,0)</f>
        <v>2.5639968210078863E-2</v>
      </c>
      <c r="AO2" s="15">
        <f>AN2/1.16</f>
        <v>2.2103420870757642E-2</v>
      </c>
    </row>
    <row r="3" spans="1:41" s="2" customFormat="1" ht="15" customHeight="1" x14ac:dyDescent="0.25">
      <c r="A3" s="11"/>
      <c r="B3" s="25"/>
      <c r="C3" s="36" t="s">
        <v>1</v>
      </c>
      <c r="D3" s="36"/>
      <c r="E3" s="31" t="s">
        <v>2</v>
      </c>
      <c r="F3" s="25"/>
      <c r="G3" s="25"/>
      <c r="H3" s="25"/>
      <c r="I3" s="40"/>
      <c r="J3" s="40"/>
      <c r="K3" s="40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AK3" s="21">
        <v>36</v>
      </c>
      <c r="AL3" s="16">
        <v>500000</v>
      </c>
      <c r="AM3" s="24">
        <v>21436.65</v>
      </c>
      <c r="AN3" s="15">
        <f>RATE(AK3,AM3,-AL3,0,0)</f>
        <v>2.5639973458087346E-2</v>
      </c>
      <c r="AO3" s="15">
        <f>AN3/1.16</f>
        <v>2.2103425394902884E-2</v>
      </c>
    </row>
    <row r="4" spans="1:41" s="2" customFormat="1" ht="15.75" customHeight="1" x14ac:dyDescent="0.25">
      <c r="A4" s="11"/>
      <c r="B4" s="25"/>
      <c r="C4" s="36" t="s">
        <v>9</v>
      </c>
      <c r="D4" s="36"/>
      <c r="E4" s="1" t="s">
        <v>23</v>
      </c>
      <c r="F4" s="25"/>
      <c r="G4" s="25"/>
      <c r="H4" s="33"/>
      <c r="I4" s="40"/>
      <c r="J4" s="40"/>
      <c r="K4" s="40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AK4" s="21">
        <v>42</v>
      </c>
      <c r="AL4" s="16">
        <v>500000</v>
      </c>
      <c r="AM4" s="24">
        <v>19581.849999999999</v>
      </c>
      <c r="AN4" s="15">
        <f>RATE(AK4,AM4,-AL4,0,0)</f>
        <v>2.5639979989377632E-2</v>
      </c>
      <c r="AO4" s="15">
        <f>AN4/1.16</f>
        <v>2.2103431025325547E-2</v>
      </c>
    </row>
    <row r="5" spans="1:41" s="2" customFormat="1" x14ac:dyDescent="0.25">
      <c r="A5" s="11"/>
      <c r="B5" s="25"/>
      <c r="C5" s="31"/>
      <c r="D5" s="31"/>
      <c r="E5" s="25"/>
      <c r="F5" s="25"/>
      <c r="G5" s="25"/>
      <c r="H5" s="33"/>
      <c r="I5" s="40"/>
      <c r="J5" s="40"/>
      <c r="K5" s="40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AK5" s="21">
        <v>48</v>
      </c>
      <c r="AL5" s="16">
        <v>500000</v>
      </c>
      <c r="AM5" s="24">
        <v>18227.009999999998</v>
      </c>
      <c r="AN5" s="15">
        <f>RATE(AK5,AM5,-AL5,0,0)</f>
        <v>2.5639966789436849E-2</v>
      </c>
      <c r="AO5" s="15">
        <f>AN5/1.16</f>
        <v>2.2103419646066252E-2</v>
      </c>
    </row>
    <row r="6" spans="1:41" s="2" customFormat="1" ht="18.75" x14ac:dyDescent="0.3">
      <c r="A6" s="11"/>
      <c r="B6" s="25"/>
      <c r="C6" s="36" t="str">
        <f>IF(E4="MONTO","Ingrese el Monto:","Ingrese la capacidad:")</f>
        <v>Ingrese el Monto:</v>
      </c>
      <c r="D6" s="36"/>
      <c r="E6" s="9">
        <v>150000</v>
      </c>
      <c r="F6" s="25"/>
      <c r="G6" s="25"/>
      <c r="H6" s="33"/>
      <c r="I6" s="40"/>
      <c r="J6" s="40"/>
      <c r="K6" s="40"/>
      <c r="L6" s="32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AK6" s="21">
        <v>54</v>
      </c>
      <c r="AL6" s="16">
        <v>500000</v>
      </c>
      <c r="AM6" s="24">
        <v>17204.419999999998</v>
      </c>
      <c r="AN6" s="15">
        <f t="shared" ref="AN6:AN7" si="0">RATE(AK6,AM6,-AL6,0,0)</f>
        <v>2.5639978034695456E-2</v>
      </c>
      <c r="AO6" s="15">
        <f t="shared" ref="AO6:AO7" si="1">AN6/1.16</f>
        <v>2.2103429340254704E-2</v>
      </c>
    </row>
    <row r="7" spans="1:41" s="2" customFormat="1" x14ac:dyDescent="0.25">
      <c r="A7" s="11"/>
      <c r="B7" s="25"/>
      <c r="C7" s="25"/>
      <c r="D7" s="25"/>
      <c r="E7" s="25"/>
      <c r="F7" s="33"/>
      <c r="G7" s="33"/>
      <c r="H7" s="33"/>
      <c r="I7" s="40"/>
      <c r="J7" s="40"/>
      <c r="K7" s="40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AK7" s="21">
        <v>60</v>
      </c>
      <c r="AL7" s="16">
        <v>500000</v>
      </c>
      <c r="AM7" s="24">
        <v>16413.349999999999</v>
      </c>
      <c r="AN7" s="15">
        <f t="shared" si="0"/>
        <v>2.5639979738106281E-2</v>
      </c>
      <c r="AO7" s="15">
        <f t="shared" si="1"/>
        <v>2.2103430808712313E-2</v>
      </c>
    </row>
    <row r="8" spans="1:41" s="2" customFormat="1" x14ac:dyDescent="0.25">
      <c r="A8" s="11"/>
      <c r="B8" s="25"/>
      <c r="C8" s="25"/>
      <c r="D8" s="25"/>
      <c r="E8" s="25"/>
      <c r="F8" s="33"/>
      <c r="G8" s="33"/>
      <c r="H8" s="33"/>
      <c r="I8" s="33"/>
      <c r="J8" s="33"/>
      <c r="K8" s="33"/>
      <c r="L8" s="33"/>
      <c r="M8" s="33"/>
      <c r="N8" s="33"/>
      <c r="O8" s="25"/>
      <c r="P8" s="25"/>
      <c r="Q8" s="25"/>
      <c r="R8" s="25"/>
      <c r="S8" s="25"/>
      <c r="T8" s="25"/>
      <c r="U8" s="25"/>
      <c r="V8" s="25"/>
      <c r="W8" s="25"/>
      <c r="AK8" s="21"/>
      <c r="AL8" s="16"/>
      <c r="AM8" s="24"/>
      <c r="AN8" s="15"/>
      <c r="AO8" s="15"/>
    </row>
    <row r="9" spans="1:41" s="2" customFormat="1" x14ac:dyDescent="0.25">
      <c r="A9" s="11"/>
      <c r="B9" s="25"/>
      <c r="C9" s="4" t="s">
        <v>3</v>
      </c>
      <c r="D9" s="4" t="s">
        <v>4</v>
      </c>
      <c r="E9" s="4" t="s">
        <v>5</v>
      </c>
      <c r="F9" s="4" t="s">
        <v>19</v>
      </c>
      <c r="G9" s="4" t="s">
        <v>20</v>
      </c>
      <c r="H9" s="4" t="s">
        <v>10</v>
      </c>
      <c r="I9" s="4" t="s">
        <v>7</v>
      </c>
      <c r="J9" s="4" t="s">
        <v>11</v>
      </c>
      <c r="K9" s="4" t="s">
        <v>12</v>
      </c>
      <c r="L9" s="4" t="s">
        <v>6</v>
      </c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AL9" s="16"/>
      <c r="AM9" s="16"/>
      <c r="AN9" s="15"/>
      <c r="AO9" s="15"/>
    </row>
    <row r="10" spans="1:41" s="2" customFormat="1" x14ac:dyDescent="0.25">
      <c r="A10" s="10">
        <v>30</v>
      </c>
      <c r="B10" s="25"/>
      <c r="C10" s="5" t="str">
        <f t="shared" ref="C10:C11" si="2">CONCATENATE(A10," M")</f>
        <v>30 M</v>
      </c>
      <c r="D10" s="13">
        <f>IF(IF($E$4="MONTO",IF((IF(MOD($E$6,1000)=0,$E$6,$E$6-MOD($E$6,1000)))&gt;500000,500000,IF(MOD($E$6,1000)=0,$E$6,$E$6-MOD($E$6,1000))),IF(((1-(1+F10)^(-A10))/(F10))*$E$6&gt;500000,500000,IF(MOD(((1-(1+F10)^(-A10))/(F10))*$E$6,1000)=0,((1-(1+F10)^(-A10))/(F10))*$E$6,((1-(1+F10)^(-A10))/(F10))*$E$6-MOD(((1-(1+F10)^(-A10))/(F10))*$E$6,1000))))&gt;=40000,
IF($E$4="MONTO",IF((IF(MOD($E$6,1000)=0,$E$6,$E$6-MOD($E$6,1000)))&gt;500000,500000,IF(MOD($E$6,1000)=0,$E$6,$E$6-MOD($E$6,1000))),IF(((1-(1+F10)^(-A10))/(F10))*$E$6&gt;500000,500000,IF(MOD(((1-(1+F10)^(-A10))/(F10))*$E$6,1000)=0,((1-(1+F10)^(-A10))/(F10))*$E$6,((1-(1+F10)^(-A10))/(F10))*$E$6-MOD(((1-(1+F10)^(-A10))/(F10))*$E$6,1000)))),
0)</f>
        <v>150000</v>
      </c>
      <c r="E10" s="6">
        <f t="shared" ref="E10:E15" si="3">-PMT(F10,A10,D10,,0)</f>
        <v>7227.9389999999921</v>
      </c>
      <c r="F10" s="7">
        <f t="shared" ref="F10:F15" si="4">VLOOKUP(A10,AK:AO,4,0)</f>
        <v>2.5639968210078863E-2</v>
      </c>
      <c r="G10" s="7">
        <f t="shared" ref="G10:G15" si="5">VLOOKUP(A10,AK:AO,5,0)</f>
        <v>2.2103420870757642E-2</v>
      </c>
      <c r="H10" s="7">
        <f t="shared" ref="H10:H15" si="6">IFERROR(((L10-I10)/I10)/A10,0)</f>
        <v>1.485292666666661E-2</v>
      </c>
      <c r="I10" s="6">
        <f t="shared" ref="I10:I15" si="7">D10</f>
        <v>150000</v>
      </c>
      <c r="J10" s="6">
        <f t="shared" ref="J10:J15" si="8">(L10-I10)/1.16</f>
        <v>57619.112068965303</v>
      </c>
      <c r="K10" s="6">
        <f t="shared" ref="K10:K15" si="9">J10*16%</f>
        <v>9219.0579310344492</v>
      </c>
      <c r="L10" s="6">
        <f t="shared" ref="L10:L15" si="10">E10*A10</f>
        <v>216838.16999999975</v>
      </c>
      <c r="M10" s="28"/>
      <c r="N10" s="25"/>
      <c r="O10" s="25"/>
      <c r="P10" s="25"/>
      <c r="Q10" s="25"/>
      <c r="R10" s="25"/>
      <c r="S10" s="25"/>
      <c r="T10" s="25"/>
      <c r="U10" s="25"/>
      <c r="V10" s="25"/>
      <c r="W10" s="25"/>
      <c r="AL10" s="16"/>
      <c r="AM10" s="16"/>
      <c r="AN10" s="15"/>
      <c r="AO10" s="15"/>
    </row>
    <row r="11" spans="1:41" s="2" customFormat="1" x14ac:dyDescent="0.25">
      <c r="A11" s="10">
        <v>36</v>
      </c>
      <c r="B11" s="25"/>
      <c r="C11" s="5" t="str">
        <f t="shared" si="2"/>
        <v>36 M</v>
      </c>
      <c r="D11" s="13">
        <f>IF(IF($E$4="MONTO",IF((IF(MOD($E$6,1000)=0,$E$6,$E$6-MOD($E$6,1000)))&gt;500000,500000,IF(MOD($E$6,1000)=0,$E$6,$E$6-MOD($E$6,1000))),IF(((1-(1+F11)^(-A11))/(F11))*$E$6&gt;500000,500000,IF(MOD(((1-(1+F11)^(-A11))/(F11))*$E$6,1000)=0,((1-(1+F11)^(-A11))/(F11))*$E$6,((1-(1+F11)^(-A11))/(F11))*$E$6-MOD(((1-(1+F11)^(-A11))/(F11))*$E$6,1000))))&gt;=20000,
IF($E$4="MONTO",IF((IF(MOD($E$6,1000)=0,$E$6,$E$6-MOD($E$6,1000)))&gt;500000,500000,IF(MOD($E$6,1000)=0,$E$6,$E$6-MOD($E$6,1000))),IF(((1-(1+F11)^(-A11))/(F11))*$E$6&gt;500000,500000,IF(MOD(((1-(1+F11)^(-A11))/(F11))*$E$6,1000)=0,((1-(1+F11)^(-A11))/(F11))*$E$6,((1-(1+F11)^(-A11))/(F11))*$E$6-MOD(((1-(1+F11)^(-A11))/(F11))*$E$6,1000)))),
0)</f>
        <v>150000</v>
      </c>
      <c r="E11" s="6">
        <f t="shared" si="3"/>
        <v>6430.9949999999826</v>
      </c>
      <c r="F11" s="7">
        <f t="shared" si="4"/>
        <v>2.5639973458087346E-2</v>
      </c>
      <c r="G11" s="7">
        <f t="shared" si="5"/>
        <v>2.2103425394902884E-2</v>
      </c>
      <c r="H11" s="7">
        <f t="shared" si="6"/>
        <v>1.5095522222222105E-2</v>
      </c>
      <c r="I11" s="6">
        <f t="shared" si="7"/>
        <v>150000</v>
      </c>
      <c r="J11" s="6">
        <f t="shared" si="8"/>
        <v>70272.258620689114</v>
      </c>
      <c r="K11" s="6">
        <f t="shared" si="9"/>
        <v>11243.561379310258</v>
      </c>
      <c r="L11" s="6">
        <f t="shared" si="10"/>
        <v>231515.81999999937</v>
      </c>
      <c r="M11" s="28"/>
      <c r="N11" s="25"/>
      <c r="O11" s="25"/>
      <c r="P11" s="25"/>
      <c r="Q11" s="25"/>
      <c r="R11" s="25"/>
      <c r="S11" s="25"/>
      <c r="T11" s="25"/>
      <c r="U11" s="25"/>
      <c r="V11" s="25"/>
      <c r="W11" s="25"/>
      <c r="AL11" s="16"/>
      <c r="AM11" s="16"/>
      <c r="AN11" s="15"/>
      <c r="AO11" s="15"/>
    </row>
    <row r="12" spans="1:41" s="2" customFormat="1" x14ac:dyDescent="0.25">
      <c r="A12" s="10">
        <v>42</v>
      </c>
      <c r="B12" s="25"/>
      <c r="C12" s="5" t="str">
        <f>CONCATENATE(A12," M")</f>
        <v>42 M</v>
      </c>
      <c r="D12" s="13">
        <f>IF(IF($E$4="MONTO",IF((IF(MOD($E$6,1000)=0,$E$6,$E$6-MOD($E$6,1000)))&gt;500000,500000,IF(MOD($E$6,1000)=0,$E$6,$E$6-MOD($E$6,1000))),IF(((1-(1+F12)^(-A12))/(F12))*$E$6&gt;500000,500000,IF(MOD(((1-(1+F12)^(-A12))/(F12))*$E$6,1000)=0,((1-(1+F12)^(-A12))/(F12))*$E$6,((1-(1+F12)^(-A12))/(F12))*$E$6-MOD(((1-(1+F12)^(-A12))/(F12))*$E$6,1000))))&gt;=5000,
IF($E$4="MONTO",IF((IF(MOD($E$6,1000)=0,$E$6,$E$6-MOD($E$6,1000)))&gt;500000,500000,IF(MOD($E$6,1000)=0,$E$6,$E$6-MOD($E$6,1000))),IF(((1-(1+F12)^(-A12))/(F12))*$E$6&gt;500000,500000,IF(MOD(((1-(1+F12)^(-A12))/(F12))*$E$6,1000)=0,((1-(1+F12)^(-A12))/(F12))*$E$6,((1-(1+F12)^(-A12))/(F12))*$E$6-MOD(((1-(1+F12)^(-A12))/(F12))*$E$6,1000)))),
0)</f>
        <v>150000</v>
      </c>
      <c r="E12" s="6">
        <f t="shared" si="3"/>
        <v>5874.5550000002895</v>
      </c>
      <c r="F12" s="7">
        <f t="shared" si="4"/>
        <v>2.5639979989377632E-2</v>
      </c>
      <c r="G12" s="7">
        <f t="shared" si="5"/>
        <v>2.2103431025325547E-2</v>
      </c>
      <c r="H12" s="7">
        <f t="shared" si="6"/>
        <v>1.535417619047812E-2</v>
      </c>
      <c r="I12" s="6">
        <f t="shared" si="7"/>
        <v>150000</v>
      </c>
      <c r="J12" s="6">
        <f t="shared" si="8"/>
        <v>83389.060344838072</v>
      </c>
      <c r="K12" s="6">
        <f t="shared" si="9"/>
        <v>13342.249655174091</v>
      </c>
      <c r="L12" s="6">
        <f t="shared" si="10"/>
        <v>246731.31000001216</v>
      </c>
      <c r="M12" s="28"/>
      <c r="N12" s="25"/>
      <c r="O12" s="25"/>
      <c r="P12" s="25"/>
      <c r="Q12" s="25"/>
      <c r="R12" s="25"/>
      <c r="S12" s="25"/>
      <c r="T12" s="25"/>
      <c r="U12" s="25"/>
      <c r="V12" s="25"/>
      <c r="W12" s="25"/>
      <c r="AL12" s="16"/>
      <c r="AM12" s="16"/>
    </row>
    <row r="13" spans="1:41" s="2" customFormat="1" x14ac:dyDescent="0.25">
      <c r="A13" s="10">
        <v>48</v>
      </c>
      <c r="B13" s="25"/>
      <c r="C13" s="5" t="str">
        <f t="shared" ref="C13:C15" si="11">CONCATENATE(A13," M")</f>
        <v>48 M</v>
      </c>
      <c r="D13" s="13">
        <f>IF(IF($E$4="MONTO",IF((IF(MOD($E$6,1000)=0,$E$6,$E$6-MOD($E$6,1000)))&gt;500000,500000,IF(MOD($E$6,1000)=0,$E$6,$E$6-MOD($E$6,1000))),IF(((1-(1+F13)^(-A13))/(F13))*$E$6&gt;500000,500000,IF(MOD(((1-(1+F13)^(-A13))/(F13))*$E$6,1000)=0,((1-(1+F13)^(-A13))/(F13))*$E$6,((1-(1+F13)^(-A13))/(F13))*$E$6-MOD(((1-(1+F13)^(-A13))/(F13))*$E$6,1000))))&gt;=5000,
IF($E$4="MONTO",IF((IF(MOD($E$6,1000)=0,$E$6,$E$6-MOD($E$6,1000)))&gt;500000,500000,IF(MOD($E$6,1000)=0,$E$6,$E$6-MOD($E$6,1000))),IF(((1-(1+F13)^(-A13))/(F13))*$E$6&gt;500000,500000,IF(MOD(((1-(1+F13)^(-A13))/(F13))*$E$6,1000)=0,((1-(1+F13)^(-A13))/(F13))*$E$6,((1-(1+F13)^(-A13))/(F13))*$E$6-MOD(((1-(1+F13)^(-A13))/(F13))*$E$6,1000)))),
0)</f>
        <v>150000</v>
      </c>
      <c r="E13" s="6">
        <f t="shared" si="3"/>
        <v>5468.1030000000137</v>
      </c>
      <c r="F13" s="7">
        <f t="shared" si="4"/>
        <v>2.5639966789436849E-2</v>
      </c>
      <c r="G13" s="7">
        <f t="shared" si="5"/>
        <v>2.2103419646066252E-2</v>
      </c>
      <c r="H13" s="7">
        <f t="shared" si="6"/>
        <v>1.5620686666666758E-2</v>
      </c>
      <c r="I13" s="6">
        <f t="shared" si="7"/>
        <v>150000</v>
      </c>
      <c r="J13" s="6">
        <f t="shared" si="8"/>
        <v>96955.986206897127</v>
      </c>
      <c r="K13" s="6">
        <f t="shared" si="9"/>
        <v>15512.95779310354</v>
      </c>
      <c r="L13" s="6">
        <f t="shared" si="10"/>
        <v>262468.94400000066</v>
      </c>
      <c r="M13" s="28"/>
      <c r="N13" s="25"/>
      <c r="O13" s="25"/>
      <c r="P13" s="25"/>
      <c r="Q13" s="25"/>
      <c r="R13" s="25"/>
      <c r="S13" s="25"/>
      <c r="T13" s="25"/>
      <c r="U13" s="25"/>
      <c r="V13" s="25"/>
      <c r="W13" s="25"/>
      <c r="AL13" s="16"/>
      <c r="AM13" s="16"/>
    </row>
    <row r="14" spans="1:41" s="2" customFormat="1" x14ac:dyDescent="0.25">
      <c r="A14" s="10">
        <v>54</v>
      </c>
      <c r="B14" s="25"/>
      <c r="C14" s="5" t="str">
        <f t="shared" si="11"/>
        <v>54 M</v>
      </c>
      <c r="D14" s="13">
        <f>IF(IF($E$4="MONTO",IF((IF(MOD($E$6,1000)=0,$E$6,$E$6-MOD($E$6,1000)))&gt;500000,500000,IF(MOD($E$6,1000)=0,$E$6,$E$6-MOD($E$6,1000))),IF(((1-(1+F14)^(-A14))/(F14))*$E$6&gt;500000,500000,IF(MOD(((1-(1+F14)^(-A14))/(F14))*$E$6,1000)=0,((1-(1+F14)^(-A14))/(F14))*$E$6,((1-(1+F14)^(-A14))/(F14))*$E$6-MOD(((1-(1+F14)^(-A14))/(F14))*$E$6,1000))))&gt;=5000,
IF($E$4="MONTO",IF((IF(MOD($E$6,1000)=0,$E$6,$E$6-MOD($E$6,1000)))&gt;500000,500000,IF(MOD($E$6,1000)=0,$E$6,$E$6-MOD($E$6,1000))),IF(((1-(1+F14)^(-A14))/(F14))*$E$6&gt;500000,500000,IF(MOD(((1-(1+F14)^(-A14))/(F14))*$E$6,1000)=0,((1-(1+F14)^(-A14))/(F14))*$E$6,((1-(1+F14)^(-A14))/(F14))*$E$6-MOD(((1-(1+F14)^(-A14))/(F14))*$E$6,1000)))),
0)</f>
        <v>150000</v>
      </c>
      <c r="E14" s="6">
        <f t="shared" si="3"/>
        <v>5161.3259999999882</v>
      </c>
      <c r="F14" s="7">
        <f t="shared" si="4"/>
        <v>2.5639978034695456E-2</v>
      </c>
      <c r="G14" s="7">
        <f t="shared" si="5"/>
        <v>2.2103429340254704E-2</v>
      </c>
      <c r="H14" s="7">
        <f t="shared" si="6"/>
        <v>1.5890321481481402E-2</v>
      </c>
      <c r="I14" s="6">
        <f t="shared" si="7"/>
        <v>150000</v>
      </c>
      <c r="J14" s="6">
        <f t="shared" si="8"/>
        <v>110958.27931034428</v>
      </c>
      <c r="K14" s="6">
        <f t="shared" si="9"/>
        <v>17753.324689655085</v>
      </c>
      <c r="L14" s="6">
        <f t="shared" si="10"/>
        <v>278711.60399999935</v>
      </c>
      <c r="M14" s="28"/>
      <c r="N14" s="25"/>
      <c r="O14" s="25"/>
      <c r="P14" s="25"/>
      <c r="Q14" s="25"/>
      <c r="R14" s="25"/>
      <c r="S14" s="25"/>
      <c r="T14" s="25"/>
      <c r="U14" s="25"/>
      <c r="V14" s="25"/>
      <c r="W14" s="25"/>
      <c r="AL14" s="16"/>
      <c r="AM14" s="16"/>
    </row>
    <row r="15" spans="1:41" s="2" customFormat="1" x14ac:dyDescent="0.25">
      <c r="A15" s="10">
        <v>60</v>
      </c>
      <c r="B15" s="25"/>
      <c r="C15" s="5" t="str">
        <f t="shared" si="11"/>
        <v>60 M</v>
      </c>
      <c r="D15" s="13">
        <f>IF(IF($E$4="MONTO",IF((IF(MOD($E$6,1000)=0,$E$6,$E$6-MOD($E$6,1000)))&gt;500000,500000,IF(MOD($E$6,1000)=0,$E$6,$E$6-MOD($E$6,1000))),IF(((1-(1+F15)^(-A15))/(F15))*$E$6&gt;500000,500000,IF(MOD(((1-(1+F15)^(-A15))/(F15))*$E$6,1000)=0,((1-(1+F15)^(-A15))/(F15))*$E$6,((1-(1+F15)^(-A15))/(F15))*$E$6-MOD(((1-(1+F15)^(-A15))/(F15))*$E$6,1000))))&gt;=5000,
IF($E$4="MONTO",IF((IF(MOD($E$6,1000)=0,$E$6,$E$6-MOD($E$6,1000)))&gt;500000,500000,IF(MOD($E$6,1000)=0,$E$6,$E$6-MOD($E$6,1000))),IF(((1-(1+F15)^(-A15))/(F15))*$E$6&gt;500000,500000,IF(MOD(((1-(1+F15)^(-A15))/(F15))*$E$6,1000)=0,((1-(1+F15)^(-A15))/(F15))*$E$6,((1-(1+F15)^(-A15))/(F15))*$E$6-MOD(((1-(1+F15)^(-A15))/(F15))*$E$6,1000)))),
0)</f>
        <v>150000</v>
      </c>
      <c r="E15" s="6">
        <f t="shared" si="3"/>
        <v>4924.0049999999956</v>
      </c>
      <c r="F15" s="7">
        <f t="shared" si="4"/>
        <v>2.5639979738106281E-2</v>
      </c>
      <c r="G15" s="7">
        <f t="shared" si="5"/>
        <v>2.2103430808712313E-2</v>
      </c>
      <c r="H15" s="7">
        <f t="shared" si="6"/>
        <v>1.6160033333333306E-2</v>
      </c>
      <c r="I15" s="6">
        <f t="shared" si="7"/>
        <v>150000</v>
      </c>
      <c r="J15" s="6">
        <f t="shared" si="8"/>
        <v>125379.56896551704</v>
      </c>
      <c r="K15" s="6">
        <f t="shared" si="9"/>
        <v>20060.731034482727</v>
      </c>
      <c r="L15" s="6">
        <f t="shared" si="10"/>
        <v>295440.29999999976</v>
      </c>
      <c r="M15" s="28"/>
      <c r="N15" s="25"/>
      <c r="O15" s="25"/>
      <c r="P15" s="25"/>
      <c r="Q15" s="25"/>
      <c r="R15" s="25"/>
      <c r="S15" s="25"/>
      <c r="T15" s="25"/>
      <c r="U15" s="25"/>
      <c r="V15" s="25"/>
      <c r="W15" s="25"/>
      <c r="AL15" s="16"/>
      <c r="AM15" s="16"/>
    </row>
    <row r="16" spans="1:41" s="2" customFormat="1" x14ac:dyDescent="0.25">
      <c r="A16" s="11"/>
      <c r="B16" s="25"/>
      <c r="C16" s="27" t="s">
        <v>8</v>
      </c>
      <c r="D16" s="25"/>
      <c r="E16" s="25"/>
      <c r="F16" s="25"/>
      <c r="G16" s="25"/>
      <c r="H16" s="25"/>
      <c r="I16" s="25"/>
      <c r="J16" s="25"/>
      <c r="K16" s="25"/>
      <c r="L16" s="25"/>
      <c r="M16" s="28"/>
      <c r="N16" s="25"/>
      <c r="O16" s="25"/>
      <c r="P16" s="25"/>
      <c r="Q16" s="25"/>
      <c r="R16" s="25"/>
      <c r="S16" s="25"/>
      <c r="T16" s="25"/>
      <c r="U16" s="25"/>
      <c r="V16" s="25"/>
      <c r="W16" s="25"/>
      <c r="AL16" s="16"/>
      <c r="AM16" s="16"/>
      <c r="AN16" s="15"/>
      <c r="AO16" s="15"/>
    </row>
    <row r="17" spans="1:41" s="2" customFormat="1" x14ac:dyDescent="0.25">
      <c r="A17" s="11"/>
      <c r="B17" s="25"/>
      <c r="C17" s="27" t="s">
        <v>18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AL17" s="16"/>
      <c r="AM17" s="16"/>
      <c r="AN17" s="15"/>
      <c r="AO17" s="15"/>
    </row>
    <row r="18" spans="1:41" s="2" customFormat="1" x14ac:dyDescent="0.25">
      <c r="A18" s="11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AL18" s="16"/>
      <c r="AM18" s="16"/>
      <c r="AN18" s="15"/>
      <c r="AO18" s="15"/>
    </row>
    <row r="19" spans="1:41" s="2" customFormat="1" x14ac:dyDescent="0.25">
      <c r="A19" s="11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AL19" s="16"/>
      <c r="AM19" s="16"/>
      <c r="AN19" s="15"/>
      <c r="AO19" s="15"/>
    </row>
    <row r="20" spans="1:41" s="2" customFormat="1" x14ac:dyDescent="0.25">
      <c r="A20" s="11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AL20" s="16"/>
      <c r="AM20" s="16"/>
      <c r="AN20" s="15"/>
      <c r="AO20" s="15"/>
    </row>
    <row r="21" spans="1:41" s="2" customFormat="1" x14ac:dyDescent="0.25">
      <c r="A21" s="11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AL21" s="16"/>
      <c r="AM21" s="16"/>
    </row>
    <row r="22" spans="1:41" s="2" customFormat="1" x14ac:dyDescent="0.25">
      <c r="A22" s="11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AL22" s="16"/>
      <c r="AM22" s="16"/>
    </row>
    <row r="23" spans="1:41" s="2" customFormat="1" x14ac:dyDescent="0.25">
      <c r="A23" s="11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AL23" s="16"/>
      <c r="AM23" s="16"/>
    </row>
    <row r="24" spans="1:41" s="2" customFormat="1" x14ac:dyDescent="0.25">
      <c r="A24" s="11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AL24" s="16"/>
      <c r="AM24" s="16"/>
    </row>
    <row r="25" spans="1:41" s="2" customFormat="1" x14ac:dyDescent="0.25">
      <c r="A25" s="1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AL25" s="16"/>
      <c r="AM25" s="16"/>
    </row>
    <row r="26" spans="1:41" s="2" customFormat="1" x14ac:dyDescent="0.25">
      <c r="A26" s="11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AL26" s="16"/>
      <c r="AM26" s="16"/>
    </row>
    <row r="27" spans="1:41" x14ac:dyDescent="0.25">
      <c r="A27" s="11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</row>
    <row r="28" spans="1:41" x14ac:dyDescent="0.25">
      <c r="A28" s="11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</row>
    <row r="29" spans="1:41" x14ac:dyDescent="0.25">
      <c r="A29" s="11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1:41" x14ac:dyDescent="0.25">
      <c r="A30" s="11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1:41" x14ac:dyDescent="0.25">
      <c r="A31" s="11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41" x14ac:dyDescent="0.25">
      <c r="A32" s="11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23" x14ac:dyDescent="0.25">
      <c r="A33" s="11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</row>
    <row r="34" spans="1:23" x14ac:dyDescent="0.25">
      <c r="A34" s="1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</row>
    <row r="35" spans="1:23" x14ac:dyDescent="0.25">
      <c r="A35" s="1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</row>
    <row r="36" spans="1:23" x14ac:dyDescent="0.25">
      <c r="A36" s="1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</row>
    <row r="37" spans="1:23" x14ac:dyDescent="0.25">
      <c r="A37" s="11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23" x14ac:dyDescent="0.25">
      <c r="A38" s="11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</row>
    <row r="39" spans="1:23" x14ac:dyDescent="0.25">
      <c r="A39" s="11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</row>
    <row r="40" spans="1:23" x14ac:dyDescent="0.25">
      <c r="A40" s="11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23" x14ac:dyDescent="0.25">
      <c r="A41" s="11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23" x14ac:dyDescent="0.25">
      <c r="A42" s="11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pans="1:23" x14ac:dyDescent="0.25">
      <c r="A43" s="11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23" x14ac:dyDescent="0.25">
      <c r="A44" s="11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pans="1:23" x14ac:dyDescent="0.25">
      <c r="A45" s="11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23" x14ac:dyDescent="0.25">
      <c r="A46" s="11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</row>
    <row r="47" spans="1:23" x14ac:dyDescent="0.25">
      <c r="A47" s="11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</row>
    <row r="48" spans="1:23" x14ac:dyDescent="0.25">
      <c r="A48" s="11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</row>
    <row r="49" spans="1:23" x14ac:dyDescent="0.25">
      <c r="A49" s="11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</row>
    <row r="50" spans="1:23" x14ac:dyDescent="0.25">
      <c r="A50" s="11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</row>
    <row r="51" spans="1:23" x14ac:dyDescent="0.25">
      <c r="A51" s="11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</row>
  </sheetData>
  <sheetProtection algorithmName="SHA-512" hashValue="OzTOi7/HbDUBCxux1CdNygDRWFPcr39izkO+qomiIqcLEYiMbOQXDTCxLM0uE23UaKxEkNjieT5837kwfTMagw==" saltValue="a5sCfDo8WDPF+7zHrxwo7Q==" spinCount="100000" sheet="1" objects="1" scenarios="1" selectLockedCells="1"/>
  <mergeCells count="6">
    <mergeCell ref="I2:K7"/>
    <mergeCell ref="C2:D2"/>
    <mergeCell ref="E2:G2"/>
    <mergeCell ref="C3:D3"/>
    <mergeCell ref="C4:D4"/>
    <mergeCell ref="C6:D6"/>
  </mergeCells>
  <dataValidations count="1">
    <dataValidation type="list" allowBlank="1" showInputMessage="1" showErrorMessage="1" sqref="E4" xr:uid="{00000000-0002-0000-0500-000000000000}">
      <formula1>"Monto, Capacidad"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51"/>
  <sheetViews>
    <sheetView showGridLines="0" topLeftCell="B1" zoomScale="130" zoomScaleNormal="130" workbookViewId="0">
      <selection activeCell="E4" sqref="E4"/>
    </sheetView>
  </sheetViews>
  <sheetFormatPr baseColWidth="10" defaultRowHeight="15" x14ac:dyDescent="0.25"/>
  <cols>
    <col min="1" max="1" width="3.140625" style="12" hidden="1" customWidth="1"/>
    <col min="2" max="2" width="2.42578125" style="8" customWidth="1"/>
    <col min="3" max="3" width="11.42578125" style="8"/>
    <col min="4" max="4" width="14.42578125" style="8" bestFit="1" customWidth="1"/>
    <col min="5" max="5" width="17.5703125" style="8" customWidth="1"/>
    <col min="6" max="6" width="13.5703125" style="8" bestFit="1" customWidth="1"/>
    <col min="7" max="7" width="13.5703125" style="8" customWidth="1"/>
    <col min="8" max="8" width="12.7109375" style="8" bestFit="1" customWidth="1"/>
    <col min="9" max="11" width="14.42578125" style="8" bestFit="1" customWidth="1"/>
    <col min="12" max="12" width="14.28515625" style="8" customWidth="1"/>
    <col min="13" max="13" width="1.5703125" style="8" customWidth="1"/>
    <col min="14" max="14" width="11.85546875" style="8" bestFit="1" customWidth="1"/>
    <col min="15" max="36" width="11.42578125" style="8"/>
    <col min="37" max="37" width="6.7109375" style="8" bestFit="1" customWidth="1"/>
    <col min="38" max="39" width="14.28515625" style="18" customWidth="1"/>
    <col min="40" max="40" width="6.28515625" style="8" bestFit="1" customWidth="1"/>
    <col min="41" max="41" width="12.5703125" style="8" bestFit="1" customWidth="1"/>
    <col min="42" max="16384" width="11.42578125" style="8"/>
  </cols>
  <sheetData>
    <row r="1" spans="1:41" s="2" customFormat="1" x14ac:dyDescent="0.25">
      <c r="A1" s="11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AK1" s="21" t="s">
        <v>14</v>
      </c>
      <c r="AL1" s="16" t="s">
        <v>13</v>
      </c>
      <c r="AM1" s="16" t="s">
        <v>15</v>
      </c>
      <c r="AN1" s="2" t="s">
        <v>16</v>
      </c>
      <c r="AO1" s="2" t="s">
        <v>17</v>
      </c>
    </row>
    <row r="2" spans="1:41" s="2" customFormat="1" ht="15.75" customHeight="1" x14ac:dyDescent="0.25">
      <c r="A2" s="11"/>
      <c r="B2" s="25"/>
      <c r="C2" s="36" t="s">
        <v>0</v>
      </c>
      <c r="D2" s="36"/>
      <c r="E2" s="39" t="s">
        <v>22</v>
      </c>
      <c r="F2" s="39"/>
      <c r="G2" s="39"/>
      <c r="H2" s="25"/>
      <c r="I2" s="40" t="s">
        <v>30</v>
      </c>
      <c r="J2" s="40"/>
      <c r="K2" s="40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AK2" s="21">
        <v>30</v>
      </c>
      <c r="AL2" s="16">
        <v>500000</v>
      </c>
      <c r="AM2" s="16">
        <v>23383.9</v>
      </c>
      <c r="AN2" s="15">
        <f>RATE(AK2,AM2,-AL2,0,0)</f>
        <v>2.3405680025931311E-2</v>
      </c>
      <c r="AO2" s="15">
        <f>AN2/1.16</f>
        <v>2.0177310367182167E-2</v>
      </c>
    </row>
    <row r="3" spans="1:41" s="2" customFormat="1" ht="15" customHeight="1" x14ac:dyDescent="0.25">
      <c r="A3" s="11"/>
      <c r="B3" s="25"/>
      <c r="C3" s="36" t="s">
        <v>1</v>
      </c>
      <c r="D3" s="36"/>
      <c r="E3" s="31" t="s">
        <v>2</v>
      </c>
      <c r="F3" s="25"/>
      <c r="G3" s="25"/>
      <c r="H3" s="25"/>
      <c r="I3" s="40"/>
      <c r="J3" s="40"/>
      <c r="K3" s="40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AK3" s="21">
        <v>36</v>
      </c>
      <c r="AL3" s="16">
        <v>500000</v>
      </c>
      <c r="AM3" s="16">
        <v>20705.259999999998</v>
      </c>
      <c r="AN3" s="15">
        <f>RATE(AK3,AM3,-AL3,0,0)</f>
        <v>2.3405703857123004E-2</v>
      </c>
      <c r="AO3" s="15">
        <f>AN3/1.16</f>
        <v>2.0177330911312935E-2</v>
      </c>
    </row>
    <row r="4" spans="1:41" s="2" customFormat="1" ht="15.75" customHeight="1" x14ac:dyDescent="0.25">
      <c r="A4" s="11"/>
      <c r="B4" s="25"/>
      <c r="C4" s="36" t="s">
        <v>9</v>
      </c>
      <c r="D4" s="36"/>
      <c r="E4" s="1" t="s">
        <v>23</v>
      </c>
      <c r="F4" s="25"/>
      <c r="G4" s="25"/>
      <c r="H4" s="33"/>
      <c r="I4" s="40"/>
      <c r="J4" s="40"/>
      <c r="K4" s="40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AK4" s="21">
        <v>42</v>
      </c>
      <c r="AL4" s="16">
        <v>500000</v>
      </c>
      <c r="AM4" s="16">
        <v>18828.03</v>
      </c>
      <c r="AN4" s="15">
        <f>RATE(AK4,AM4,-AL4,0,0)</f>
        <v>2.3405690660231987E-2</v>
      </c>
      <c r="AO4" s="15">
        <f>AN4/1.16</f>
        <v>2.0177319534682749E-2</v>
      </c>
    </row>
    <row r="5" spans="1:41" s="2" customFormat="1" x14ac:dyDescent="0.25">
      <c r="A5" s="11"/>
      <c r="B5" s="25"/>
      <c r="C5" s="31"/>
      <c r="D5" s="31"/>
      <c r="E5" s="25"/>
      <c r="F5" s="25"/>
      <c r="G5" s="25"/>
      <c r="H5" s="33"/>
      <c r="I5" s="40"/>
      <c r="J5" s="40"/>
      <c r="K5" s="40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AK5" s="21">
        <v>48</v>
      </c>
      <c r="AL5" s="16">
        <v>500000</v>
      </c>
      <c r="AM5" s="16">
        <v>17450.919999999998</v>
      </c>
      <c r="AN5" s="15">
        <f>RATE(AK5,AM5,-AL5,0,0)</f>
        <v>2.3405678919894146E-2</v>
      </c>
      <c r="AO5" s="15">
        <f>AN5/1.16</f>
        <v>2.0177309413701851E-2</v>
      </c>
    </row>
    <row r="6" spans="1:41" s="2" customFormat="1" ht="18.75" x14ac:dyDescent="0.3">
      <c r="A6" s="11"/>
      <c r="B6" s="25"/>
      <c r="C6" s="36" t="str">
        <f>IF(E4="MONTO","Ingrese el Monto:","Ingrese la capacidad:")</f>
        <v>Ingrese el Monto:</v>
      </c>
      <c r="D6" s="36"/>
      <c r="E6" s="9">
        <v>78000</v>
      </c>
      <c r="F6" s="25"/>
      <c r="G6" s="25"/>
      <c r="H6" s="33"/>
      <c r="I6" s="40"/>
      <c r="J6" s="40"/>
      <c r="K6" s="40"/>
      <c r="L6" s="32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AK6" s="21">
        <v>54</v>
      </c>
      <c r="AL6" s="16">
        <v>500000</v>
      </c>
      <c r="AM6" s="16">
        <v>16406.47</v>
      </c>
      <c r="AN6" s="15">
        <f t="shared" ref="AN6:AN7" si="0">RATE(AK6,AM6,-AL6,0,0)</f>
        <v>2.3405699180374117E-2</v>
      </c>
      <c r="AO6" s="15">
        <f t="shared" ref="AO6:AO7" si="1">AN6/1.16</f>
        <v>2.0177326879632862E-2</v>
      </c>
    </row>
    <row r="7" spans="1:41" s="2" customFormat="1" x14ac:dyDescent="0.25">
      <c r="A7" s="11"/>
      <c r="B7" s="25"/>
      <c r="C7" s="25"/>
      <c r="D7" s="25"/>
      <c r="E7" s="25"/>
      <c r="F7" s="33"/>
      <c r="G7" s="33"/>
      <c r="H7" s="33"/>
      <c r="I7" s="40"/>
      <c r="J7" s="40"/>
      <c r="K7" s="40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AK7" s="21">
        <v>60</v>
      </c>
      <c r="AL7" s="16">
        <v>500000</v>
      </c>
      <c r="AM7" s="16">
        <v>15594.11</v>
      </c>
      <c r="AN7" s="15">
        <f t="shared" si="0"/>
        <v>2.3405685062164401E-2</v>
      </c>
      <c r="AO7" s="15">
        <f t="shared" si="1"/>
        <v>2.0177314708762415E-2</v>
      </c>
    </row>
    <row r="8" spans="1:41" s="2" customFormat="1" x14ac:dyDescent="0.25">
      <c r="A8" s="11"/>
      <c r="B8" s="25"/>
      <c r="C8" s="25"/>
      <c r="D8" s="25"/>
      <c r="E8" s="25"/>
      <c r="F8" s="33"/>
      <c r="G8" s="33"/>
      <c r="H8" s="33"/>
      <c r="I8" s="33"/>
      <c r="J8" s="33"/>
      <c r="K8" s="33"/>
      <c r="L8" s="33"/>
      <c r="M8" s="33"/>
      <c r="N8" s="33"/>
      <c r="O8" s="25"/>
      <c r="P8" s="25"/>
      <c r="Q8" s="25"/>
      <c r="R8" s="25"/>
      <c r="S8" s="25"/>
      <c r="T8" s="25"/>
      <c r="U8" s="25"/>
      <c r="V8" s="25"/>
      <c r="W8" s="25"/>
      <c r="AK8" s="21"/>
      <c r="AL8" s="16"/>
      <c r="AM8" s="22"/>
      <c r="AN8" s="15"/>
      <c r="AO8" s="15"/>
    </row>
    <row r="9" spans="1:41" s="2" customFormat="1" x14ac:dyDescent="0.25">
      <c r="A9" s="11"/>
      <c r="B9" s="25"/>
      <c r="C9" s="29" t="s">
        <v>3</v>
      </c>
      <c r="D9" s="29" t="s">
        <v>4</v>
      </c>
      <c r="E9" s="29" t="s">
        <v>5</v>
      </c>
      <c r="F9" s="29" t="s">
        <v>19</v>
      </c>
      <c r="G9" s="29" t="s">
        <v>20</v>
      </c>
      <c r="H9" s="29" t="s">
        <v>10</v>
      </c>
      <c r="I9" s="29" t="s">
        <v>7</v>
      </c>
      <c r="J9" s="29" t="s">
        <v>11</v>
      </c>
      <c r="K9" s="29" t="s">
        <v>12</v>
      </c>
      <c r="L9" s="29" t="s">
        <v>6</v>
      </c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AL9" s="16"/>
      <c r="AM9" s="16"/>
      <c r="AN9" s="15"/>
      <c r="AO9" s="15"/>
    </row>
    <row r="10" spans="1:41" s="2" customFormat="1" x14ac:dyDescent="0.25">
      <c r="A10" s="10">
        <v>30</v>
      </c>
      <c r="B10" s="25"/>
      <c r="C10" s="5" t="str">
        <f t="shared" ref="C10:C11" si="2">CONCATENATE(A10," M")</f>
        <v>30 M</v>
      </c>
      <c r="D10" s="13">
        <f>IF(IF($E$4="MONTO",IF((IF(MOD($E$6,1000)=0,$E$6,$E$6-MOD($E$6,1000)))&gt;500000,500000,IF(MOD($E$6,1000)=0,$E$6,$E$6-MOD($E$6,1000))),IF(((1-(1+F10)^(-A10))/(F10))*$E$6&gt;500000,500000,IF(MOD(((1-(1+F10)^(-A10))/(F10))*$E$6,1000)=0,((1-(1+F10)^(-A10))/(F10))*$E$6,((1-(1+F10)^(-A10))/(F10))*$E$6-MOD(((1-(1+F10)^(-A10))/(F10))*$E$6,1000))))&gt;=40000,
IF($E$4="MONTO",IF((IF(MOD($E$6,1000)=0,$E$6,$E$6-MOD($E$6,1000)))&gt;500000,500000,IF(MOD($E$6,1000)=0,$E$6,$E$6-MOD($E$6,1000))),IF(((1-(1+F10)^(-A10))/(F10))*$E$6&gt;500000,500000,IF(MOD(((1-(1+F10)^(-A10))/(F10))*$E$6,1000)=0,((1-(1+F10)^(-A10))/(F10))*$E$6,((1-(1+F10)^(-A10))/(F10))*$E$6-MOD(((1-(1+F10)^(-A10))/(F10))*$E$6,1000)))),
0)</f>
        <v>78000</v>
      </c>
      <c r="E10" s="6">
        <f t="shared" ref="E10:E15" si="3">-PMT(F10,A10,D10,,0)</f>
        <v>3647.8884000000076</v>
      </c>
      <c r="F10" s="7">
        <f t="shared" ref="F10:F15" si="4">VLOOKUP(A10,AK:AO,4,0)</f>
        <v>2.3405680025931311E-2</v>
      </c>
      <c r="G10" s="7">
        <f t="shared" ref="G10:G15" si="5">VLOOKUP(A10,AK:AO,5,0)</f>
        <v>2.0177310367182167E-2</v>
      </c>
      <c r="H10" s="7">
        <f t="shared" ref="H10:H15" si="6">IFERROR(((L10-I10)/I10)/A10,0)</f>
        <v>1.3434466666666761E-2</v>
      </c>
      <c r="I10" s="6">
        <f t="shared" ref="I10:I15" si="7">D10</f>
        <v>78000</v>
      </c>
      <c r="J10" s="6">
        <f t="shared" ref="J10:J15" si="8">(L10-I10)/1.16</f>
        <v>27100.562068965708</v>
      </c>
      <c r="K10" s="6">
        <f t="shared" ref="K10:K15" si="9">J10*16%</f>
        <v>4336.089931034513</v>
      </c>
      <c r="L10" s="6">
        <f t="shared" ref="L10:L15" si="10">E10*A10</f>
        <v>109436.65200000022</v>
      </c>
      <c r="M10" s="28"/>
      <c r="N10" s="25"/>
      <c r="O10" s="25"/>
      <c r="P10" s="25"/>
      <c r="Q10" s="25"/>
      <c r="R10" s="25"/>
      <c r="S10" s="25"/>
      <c r="T10" s="25"/>
      <c r="U10" s="25"/>
      <c r="V10" s="25"/>
      <c r="W10" s="25"/>
      <c r="AL10" s="16"/>
      <c r="AM10" s="16"/>
      <c r="AN10" s="15"/>
      <c r="AO10" s="15"/>
    </row>
    <row r="11" spans="1:41" s="2" customFormat="1" x14ac:dyDescent="0.25">
      <c r="A11" s="10">
        <v>36</v>
      </c>
      <c r="B11" s="25"/>
      <c r="C11" s="5" t="str">
        <f t="shared" si="2"/>
        <v>36 M</v>
      </c>
      <c r="D11" s="13">
        <f>IF(IF($E$4="MONTO",IF((IF(MOD($E$6,1000)=0,$E$6,$E$6-MOD($E$6,1000)))&gt;500000,500000,IF(MOD($E$6,1000)=0,$E$6,$E$6-MOD($E$6,1000))),IF(((1-(1+F11)^(-A11))/(F11))*$E$6&gt;500000,500000,IF(MOD(((1-(1+F11)^(-A11))/(F11))*$E$6,1000)=0,((1-(1+F11)^(-A11))/(F11))*$E$6,((1-(1+F11)^(-A11))/(F11))*$E$6-MOD(((1-(1+F11)^(-A11))/(F11))*$E$6,1000))))&gt;=20000,
IF($E$4="MONTO",IF((IF(MOD($E$6,1000)=0,$E$6,$E$6-MOD($E$6,1000)))&gt;500000,500000,IF(MOD($E$6,1000)=0,$E$6,$E$6-MOD($E$6,1000))),IF(((1-(1+F11)^(-A11))/(F11))*$E$6&gt;500000,500000,IF(MOD(((1-(1+F11)^(-A11))/(F11))*$E$6,1000)=0,((1-(1+F11)^(-A11))/(F11))*$E$6,((1-(1+F11)^(-A11))/(F11))*$E$6-MOD(((1-(1+F11)^(-A11))/(F11))*$E$6,1000)))),
0)</f>
        <v>78000</v>
      </c>
      <c r="E11" s="6">
        <f t="shared" si="3"/>
        <v>3230.0205600000045</v>
      </c>
      <c r="F11" s="7">
        <f t="shared" si="4"/>
        <v>2.3405703857123004E-2</v>
      </c>
      <c r="G11" s="7">
        <f t="shared" si="5"/>
        <v>2.0177330911312935E-2</v>
      </c>
      <c r="H11" s="7">
        <f t="shared" si="6"/>
        <v>1.3632742222222279E-2</v>
      </c>
      <c r="I11" s="6">
        <f t="shared" si="7"/>
        <v>78000</v>
      </c>
      <c r="J11" s="6">
        <f t="shared" si="8"/>
        <v>33000.638068965658</v>
      </c>
      <c r="K11" s="6">
        <f t="shared" si="9"/>
        <v>5280.1020910345051</v>
      </c>
      <c r="L11" s="6">
        <f t="shared" si="10"/>
        <v>116280.74016000016</v>
      </c>
      <c r="M11" s="28"/>
      <c r="N11" s="25"/>
      <c r="O11" s="25"/>
      <c r="P11" s="25"/>
      <c r="Q11" s="25"/>
      <c r="R11" s="25"/>
      <c r="S11" s="25"/>
      <c r="T11" s="25"/>
      <c r="U11" s="25"/>
      <c r="V11" s="25"/>
      <c r="W11" s="25"/>
      <c r="AL11" s="16"/>
      <c r="AM11" s="16"/>
      <c r="AN11" s="15"/>
      <c r="AO11" s="15"/>
    </row>
    <row r="12" spans="1:41" s="2" customFormat="1" x14ac:dyDescent="0.25">
      <c r="A12" s="10">
        <v>42</v>
      </c>
      <c r="B12" s="25"/>
      <c r="C12" s="5" t="str">
        <f>CONCATENATE(A12," M")</f>
        <v>42 M</v>
      </c>
      <c r="D12" s="13">
        <f>IF(IF($E$4="MONTO",IF((IF(MOD($E$6,1000)=0,$E$6,$E$6-MOD($E$6,1000)))&gt;500000,500000,IF(MOD($E$6,1000)=0,$E$6,$E$6-MOD($E$6,1000))),IF(((1-(1+F12)^(-A12))/(F12))*$E$6&gt;500000,500000,IF(MOD(((1-(1+F12)^(-A12))/(F12))*$E$6,1000)=0,((1-(1+F12)^(-A12))/(F12))*$E$6,((1-(1+F12)^(-A12))/(F12))*$E$6-MOD(((1-(1+F12)^(-A12))/(F12))*$E$6,1000))))&gt;=5000,
IF($E$4="MONTO",IF((IF(MOD($E$6,1000)=0,$E$6,$E$6-MOD($E$6,1000)))&gt;500000,500000,IF(MOD($E$6,1000)=0,$E$6,$E$6-MOD($E$6,1000))),IF(((1-(1+F12)^(-A12))/(F12))*$E$6&gt;500000,500000,IF(MOD(((1-(1+F12)^(-A12))/(F12))*$E$6,1000)=0,((1-(1+F12)^(-A12))/(F12))*$E$6,((1-(1+F12)^(-A12))/(F12))*$E$6-MOD(((1-(1+F12)^(-A12))/(F12))*$E$6,1000)))),
0)</f>
        <v>78000</v>
      </c>
      <c r="E12" s="6">
        <f t="shared" si="3"/>
        <v>2937.1726800000065</v>
      </c>
      <c r="F12" s="7">
        <f t="shared" si="4"/>
        <v>2.3405690660231987E-2</v>
      </c>
      <c r="G12" s="7">
        <f t="shared" si="5"/>
        <v>2.0177319534682749E-2</v>
      </c>
      <c r="H12" s="7">
        <f t="shared" si="6"/>
        <v>1.3846536190476275E-2</v>
      </c>
      <c r="I12" s="6">
        <f t="shared" si="7"/>
        <v>78000</v>
      </c>
      <c r="J12" s="6">
        <f t="shared" si="8"/>
        <v>39104.528068965752</v>
      </c>
      <c r="K12" s="6">
        <f t="shared" si="9"/>
        <v>6256.7244910345207</v>
      </c>
      <c r="L12" s="6">
        <f t="shared" si="10"/>
        <v>123361.25256000027</v>
      </c>
      <c r="M12" s="28"/>
      <c r="N12" s="25"/>
      <c r="O12" s="25"/>
      <c r="P12" s="25"/>
      <c r="Q12" s="25"/>
      <c r="R12" s="25"/>
      <c r="S12" s="25"/>
      <c r="T12" s="25"/>
      <c r="U12" s="25"/>
      <c r="V12" s="25"/>
      <c r="W12" s="25"/>
      <c r="AL12" s="16"/>
      <c r="AM12" s="16"/>
    </row>
    <row r="13" spans="1:41" s="2" customFormat="1" x14ac:dyDescent="0.25">
      <c r="A13" s="10">
        <v>48</v>
      </c>
      <c r="B13" s="25"/>
      <c r="C13" s="5" t="str">
        <f t="shared" ref="C13:C15" si="11">CONCATENATE(A13," M")</f>
        <v>48 M</v>
      </c>
      <c r="D13" s="13">
        <f>IF(IF($E$4="MONTO",IF((IF(MOD($E$6,1000)=0,$E$6,$E$6-MOD($E$6,1000)))&gt;500000,500000,IF(MOD($E$6,1000)=0,$E$6,$E$6-MOD($E$6,1000))),IF(((1-(1+F13)^(-A13))/(F13))*$E$6&gt;500000,500000,IF(MOD(((1-(1+F13)^(-A13))/(F13))*$E$6,1000)=0,((1-(1+F13)^(-A13))/(F13))*$E$6,((1-(1+F13)^(-A13))/(F13))*$E$6-MOD(((1-(1+F13)^(-A13))/(F13))*$E$6,1000))))&gt;=5000,
IF($E$4="MONTO",IF((IF(MOD($E$6,1000)=0,$E$6,$E$6-MOD($E$6,1000)))&gt;500000,500000,IF(MOD($E$6,1000)=0,$E$6,$E$6-MOD($E$6,1000))),IF(((1-(1+F13)^(-A13))/(F13))*$E$6&gt;500000,500000,IF(MOD(((1-(1+F13)^(-A13))/(F13))*$E$6,1000)=0,((1-(1+F13)^(-A13))/(F13))*$E$6,((1-(1+F13)^(-A13))/(F13))*$E$6-MOD(((1-(1+F13)^(-A13))/(F13))*$E$6,1000)))),
0)</f>
        <v>78000</v>
      </c>
      <c r="E13" s="6">
        <f t="shared" si="3"/>
        <v>2722.3435200000176</v>
      </c>
      <c r="F13" s="7">
        <f t="shared" si="4"/>
        <v>2.3405678919894146E-2</v>
      </c>
      <c r="G13" s="7">
        <f t="shared" si="5"/>
        <v>2.0177309413701851E-2</v>
      </c>
      <c r="H13" s="7">
        <f t="shared" si="6"/>
        <v>1.4068506666666892E-2</v>
      </c>
      <c r="I13" s="6">
        <f t="shared" si="7"/>
        <v>78000</v>
      </c>
      <c r="J13" s="6">
        <f t="shared" si="8"/>
        <v>45407.318068966248</v>
      </c>
      <c r="K13" s="6">
        <f t="shared" si="9"/>
        <v>7265.1708910345997</v>
      </c>
      <c r="L13" s="6">
        <f t="shared" si="10"/>
        <v>130672.48896000085</v>
      </c>
      <c r="M13" s="28"/>
      <c r="N13" s="25"/>
      <c r="O13" s="25"/>
      <c r="P13" s="25"/>
      <c r="Q13" s="25"/>
      <c r="R13" s="25"/>
      <c r="S13" s="25"/>
      <c r="T13" s="25"/>
      <c r="U13" s="25"/>
      <c r="V13" s="25"/>
      <c r="W13" s="25"/>
      <c r="AL13" s="16"/>
      <c r="AM13" s="16"/>
    </row>
    <row r="14" spans="1:41" s="2" customFormat="1" x14ac:dyDescent="0.25">
      <c r="A14" s="10">
        <v>54</v>
      </c>
      <c r="B14" s="25"/>
      <c r="C14" s="5" t="str">
        <f t="shared" si="11"/>
        <v>54 M</v>
      </c>
      <c r="D14" s="13">
        <f>IF(IF($E$4="MONTO",IF((IF(MOD($E$6,1000)=0,$E$6,$E$6-MOD($E$6,1000)))&gt;500000,500000,IF(MOD($E$6,1000)=0,$E$6,$E$6-MOD($E$6,1000))),IF(((1-(1+F14)^(-A14))/(F14))*$E$6&gt;500000,500000,IF(MOD(((1-(1+F14)^(-A14))/(F14))*$E$6,1000)=0,((1-(1+F14)^(-A14))/(F14))*$E$6,((1-(1+F14)^(-A14))/(F14))*$E$6-MOD(((1-(1+F14)^(-A14))/(F14))*$E$6,1000))))&gt;=5000,
IF($E$4="MONTO",IF((IF(MOD($E$6,1000)=0,$E$6,$E$6-MOD($E$6,1000)))&gt;500000,500000,IF(MOD($E$6,1000)=0,$E$6,$E$6-MOD($E$6,1000))),IF(((1-(1+F14)^(-A14))/(F14))*$E$6&gt;500000,500000,IF(MOD(((1-(1+F14)^(-A14))/(F14))*$E$6,1000)=0,((1-(1+F14)^(-A14))/(F14))*$E$6,((1-(1+F14)^(-A14))/(F14))*$E$6-MOD(((1-(1+F14)^(-A14))/(F14))*$E$6,1000)))),
0)</f>
        <v>78000</v>
      </c>
      <c r="E14" s="6">
        <f t="shared" si="3"/>
        <v>2559.4093199999929</v>
      </c>
      <c r="F14" s="7">
        <f t="shared" si="4"/>
        <v>2.3405699180374117E-2</v>
      </c>
      <c r="G14" s="7">
        <f t="shared" si="5"/>
        <v>2.0177326879632862E-2</v>
      </c>
      <c r="H14" s="7">
        <f t="shared" si="6"/>
        <v>1.4294421481481393E-2</v>
      </c>
      <c r="I14" s="6">
        <f t="shared" si="7"/>
        <v>78000</v>
      </c>
      <c r="J14" s="6">
        <f t="shared" si="8"/>
        <v>51903.537310344516</v>
      </c>
      <c r="K14" s="6">
        <f t="shared" si="9"/>
        <v>8304.5659696551229</v>
      </c>
      <c r="L14" s="6">
        <f t="shared" si="10"/>
        <v>138208.10327999963</v>
      </c>
      <c r="M14" s="28"/>
      <c r="N14" s="25"/>
      <c r="O14" s="25"/>
      <c r="P14" s="25"/>
      <c r="Q14" s="25"/>
      <c r="R14" s="25"/>
      <c r="S14" s="25"/>
      <c r="T14" s="25"/>
      <c r="U14" s="25"/>
      <c r="V14" s="25"/>
      <c r="W14" s="25"/>
      <c r="AL14" s="16"/>
      <c r="AM14" s="16"/>
    </row>
    <row r="15" spans="1:41" s="2" customFormat="1" x14ac:dyDescent="0.25">
      <c r="A15" s="10">
        <v>60</v>
      </c>
      <c r="B15" s="25"/>
      <c r="C15" s="5" t="str">
        <f t="shared" si="11"/>
        <v>60 M</v>
      </c>
      <c r="D15" s="13">
        <f>IF(IF($E$4="MONTO",IF((IF(MOD($E$6,1000)=0,$E$6,$E$6-MOD($E$6,1000)))&gt;500000,500000,IF(MOD($E$6,1000)=0,$E$6,$E$6-MOD($E$6,1000))),IF(((1-(1+F15)^(-A15))/(F15))*$E$6&gt;500000,500000,IF(MOD(((1-(1+F15)^(-A15))/(F15))*$E$6,1000)=0,((1-(1+F15)^(-A15))/(F15))*$E$6,((1-(1+F15)^(-A15))/(F15))*$E$6-MOD(((1-(1+F15)^(-A15))/(F15))*$E$6,1000))))&gt;=5000,
IF($E$4="MONTO",IF((IF(MOD($E$6,1000)=0,$E$6,$E$6-MOD($E$6,1000)))&gt;500000,500000,IF(MOD($E$6,1000)=0,$E$6,$E$6-MOD($E$6,1000))),IF(((1-(1+F15)^(-A15))/(F15))*$E$6&gt;500000,500000,IF(MOD(((1-(1+F15)^(-A15))/(F15))*$E$6,1000)=0,((1-(1+F15)^(-A15))/(F15))*$E$6,((1-(1+F15)^(-A15))/(F15))*$E$6-MOD(((1-(1+F15)^(-A15))/(F15))*$E$6,1000)))),
0)</f>
        <v>78000</v>
      </c>
      <c r="E15" s="6">
        <f t="shared" si="3"/>
        <v>2432.6811600000042</v>
      </c>
      <c r="F15" s="7">
        <f t="shared" si="4"/>
        <v>2.3405685062164401E-2</v>
      </c>
      <c r="G15" s="7">
        <f t="shared" si="5"/>
        <v>2.0177314708762415E-2</v>
      </c>
      <c r="H15" s="7">
        <f t="shared" si="6"/>
        <v>1.4521553333333385E-2</v>
      </c>
      <c r="I15" s="6">
        <f t="shared" si="7"/>
        <v>78000</v>
      </c>
      <c r="J15" s="6">
        <f t="shared" si="8"/>
        <v>58586.956551724346</v>
      </c>
      <c r="K15" s="6">
        <f t="shared" si="9"/>
        <v>9373.9130482758956</v>
      </c>
      <c r="L15" s="6">
        <f t="shared" si="10"/>
        <v>145960.86960000024</v>
      </c>
      <c r="M15" s="28"/>
      <c r="N15" s="25"/>
      <c r="O15" s="25"/>
      <c r="P15" s="25"/>
      <c r="Q15" s="25"/>
      <c r="R15" s="25"/>
      <c r="S15" s="25"/>
      <c r="T15" s="25"/>
      <c r="U15" s="25"/>
      <c r="V15" s="25"/>
      <c r="W15" s="25"/>
      <c r="AL15" s="16"/>
      <c r="AM15" s="16"/>
    </row>
    <row r="16" spans="1:41" s="2" customFormat="1" x14ac:dyDescent="0.25">
      <c r="A16" s="11"/>
      <c r="B16" s="25"/>
      <c r="C16" s="27" t="s">
        <v>8</v>
      </c>
      <c r="D16" s="25"/>
      <c r="E16" s="25"/>
      <c r="F16" s="25"/>
      <c r="G16" s="25"/>
      <c r="H16" s="25"/>
      <c r="I16" s="25"/>
      <c r="J16" s="25"/>
      <c r="K16" s="25"/>
      <c r="L16" s="25"/>
      <c r="M16" s="28"/>
      <c r="N16" s="25"/>
      <c r="O16" s="25"/>
      <c r="P16" s="25"/>
      <c r="Q16" s="25"/>
      <c r="R16" s="25"/>
      <c r="S16" s="25"/>
      <c r="T16" s="25"/>
      <c r="U16" s="25"/>
      <c r="V16" s="25"/>
      <c r="W16" s="25"/>
      <c r="AL16" s="16"/>
      <c r="AM16" s="16"/>
      <c r="AN16" s="15"/>
      <c r="AO16" s="15"/>
    </row>
    <row r="17" spans="1:41" s="2" customFormat="1" x14ac:dyDescent="0.25">
      <c r="A17" s="11"/>
      <c r="B17" s="25"/>
      <c r="C17" s="27" t="s">
        <v>18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AL17" s="16"/>
      <c r="AM17" s="16"/>
      <c r="AN17" s="15"/>
      <c r="AO17" s="15"/>
    </row>
    <row r="18" spans="1:41" s="2" customFormat="1" x14ac:dyDescent="0.25">
      <c r="A18" s="11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AL18" s="16"/>
      <c r="AM18" s="16"/>
      <c r="AN18" s="15"/>
      <c r="AO18" s="15"/>
    </row>
    <row r="19" spans="1:41" s="2" customFormat="1" x14ac:dyDescent="0.25">
      <c r="A19" s="11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AL19" s="16"/>
      <c r="AM19" s="16"/>
      <c r="AN19" s="15"/>
      <c r="AO19" s="15"/>
    </row>
    <row r="20" spans="1:41" s="2" customFormat="1" x14ac:dyDescent="0.25">
      <c r="A20" s="11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AL20" s="16"/>
      <c r="AM20" s="16"/>
      <c r="AN20" s="15"/>
      <c r="AO20" s="15"/>
    </row>
    <row r="21" spans="1:41" s="2" customFormat="1" x14ac:dyDescent="0.25">
      <c r="A21" s="11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AL21" s="16"/>
      <c r="AM21" s="16"/>
    </row>
    <row r="22" spans="1:41" s="2" customFormat="1" x14ac:dyDescent="0.25">
      <c r="A22" s="11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AL22" s="16"/>
      <c r="AM22" s="16"/>
    </row>
    <row r="23" spans="1:41" s="2" customFormat="1" x14ac:dyDescent="0.25">
      <c r="A23" s="11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AL23" s="16"/>
      <c r="AM23" s="16"/>
    </row>
    <row r="24" spans="1:41" s="2" customFormat="1" x14ac:dyDescent="0.25">
      <c r="A24" s="11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AL24" s="16"/>
      <c r="AM24" s="16"/>
    </row>
    <row r="25" spans="1:41" s="2" customFormat="1" x14ac:dyDescent="0.25">
      <c r="A25" s="1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AL25" s="16"/>
      <c r="AM25" s="16"/>
    </row>
    <row r="26" spans="1:41" s="2" customFormat="1" x14ac:dyDescent="0.25">
      <c r="A26" s="11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AL26" s="16"/>
      <c r="AM26" s="16"/>
    </row>
    <row r="27" spans="1:41" x14ac:dyDescent="0.25">
      <c r="A27" s="11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</row>
    <row r="28" spans="1:41" x14ac:dyDescent="0.25">
      <c r="A28" s="11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</row>
    <row r="29" spans="1:41" x14ac:dyDescent="0.25">
      <c r="A29" s="11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1:41" x14ac:dyDescent="0.25">
      <c r="A30" s="11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1:41" x14ac:dyDescent="0.25">
      <c r="A31" s="11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41" x14ac:dyDescent="0.25">
      <c r="A32" s="11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23" x14ac:dyDescent="0.25">
      <c r="A33" s="11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</row>
    <row r="34" spans="1:23" x14ac:dyDescent="0.25">
      <c r="A34" s="1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</row>
    <row r="35" spans="1:23" x14ac:dyDescent="0.25">
      <c r="A35" s="1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</row>
    <row r="36" spans="1:23" x14ac:dyDescent="0.25">
      <c r="A36" s="1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</row>
    <row r="37" spans="1:23" x14ac:dyDescent="0.25">
      <c r="A37" s="11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23" x14ac:dyDescent="0.25">
      <c r="A38" s="11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</row>
    <row r="39" spans="1:23" x14ac:dyDescent="0.25">
      <c r="A39" s="11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</row>
    <row r="40" spans="1:23" x14ac:dyDescent="0.25">
      <c r="A40" s="11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23" x14ac:dyDescent="0.25">
      <c r="A41" s="11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23" x14ac:dyDescent="0.25">
      <c r="A42" s="11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pans="1:23" x14ac:dyDescent="0.25">
      <c r="A43" s="11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23" x14ac:dyDescent="0.25">
      <c r="A44" s="11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pans="1:23" x14ac:dyDescent="0.25">
      <c r="A45" s="11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23" x14ac:dyDescent="0.25">
      <c r="A46" s="11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</row>
    <row r="47" spans="1:23" x14ac:dyDescent="0.25">
      <c r="A47" s="11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</row>
    <row r="48" spans="1:23" x14ac:dyDescent="0.25">
      <c r="A48" s="11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</row>
    <row r="49" spans="1:23" x14ac:dyDescent="0.25">
      <c r="A49" s="11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</row>
    <row r="50" spans="1:23" x14ac:dyDescent="0.25">
      <c r="A50" s="11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</row>
    <row r="51" spans="1:23" x14ac:dyDescent="0.25">
      <c r="A51" s="11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</row>
  </sheetData>
  <sheetProtection algorithmName="SHA-512" hashValue="oHuHWPd3ioSzlACq58K/oGgpnbRVJ+MpP4R+RXsXTYUSJDPIUbYro/nbzvpYxeYpxigy+XzrsJQq++pzRY4k6g==" saltValue="tTHidlYcIyRZHTnmshDsSw==" spinCount="100000" sheet="1" objects="1" scenarios="1" selectLockedCells="1"/>
  <mergeCells count="6">
    <mergeCell ref="C2:D2"/>
    <mergeCell ref="E2:G2"/>
    <mergeCell ref="I2:K7"/>
    <mergeCell ref="C3:D3"/>
    <mergeCell ref="C4:D4"/>
    <mergeCell ref="C6:D6"/>
  </mergeCells>
  <dataValidations count="1">
    <dataValidation type="list" allowBlank="1" showInputMessage="1" showErrorMessage="1" sqref="E4" xr:uid="{00000000-0002-0000-0600-000000000000}">
      <formula1>"Monto, Capacidad"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GFI 2.66% CAT 43.97%</vt:lpstr>
      <vt:lpstr>GFI 2.50% CAT 41%</vt:lpstr>
      <vt:lpstr>GFI 2.37% CAT 38.5%</vt:lpstr>
      <vt:lpstr>GFI 2.29% CAT 37%</vt:lpstr>
      <vt:lpstr>GFI 2.21% CAT 35.50%</vt:lpstr>
      <vt:lpstr>GFI 2.02% CAT 32%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Mireya Tzompantzi</dc:creator>
  <cp:lastModifiedBy>Inmedicredit</cp:lastModifiedBy>
  <dcterms:created xsi:type="dcterms:W3CDTF">2022-04-20T16:01:06Z</dcterms:created>
  <dcterms:modified xsi:type="dcterms:W3CDTF">2026-09-17T18:31:07Z</dcterms:modified>
</cp:coreProperties>
</file>